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4760" windowHeight="12480"/>
  </bookViews>
  <sheets>
    <sheet name="AusTender-Senate-Order-on-Confi" sheetId="1" r:id="rId1"/>
    <sheet name="Grants" sheetId="4" r:id="rId2"/>
  </sheets>
  <definedNames>
    <definedName name="_xlnm._FilterDatabase" localSheetId="0" hidden="1">'AusTender-Senate-Order-on-Confi'!$A$5:$I$246</definedName>
  </definedNames>
  <calcPr calcId="145621" concurrentCalc="0"/>
</workbook>
</file>

<file path=xl/calcChain.xml><?xml version="1.0" encoding="utf-8"?>
<calcChain xmlns="http://schemas.openxmlformats.org/spreadsheetml/2006/main">
  <c r="I207" i="1" l="1"/>
  <c r="G207" i="1"/>
  <c r="A207" i="1"/>
  <c r="I241" i="1"/>
  <c r="G241" i="1"/>
  <c r="A241" i="1"/>
  <c r="A240" i="1"/>
  <c r="A238" i="1"/>
  <c r="I237" i="1"/>
  <c r="G237" i="1"/>
  <c r="A237" i="1"/>
  <c r="I236" i="1"/>
  <c r="G236" i="1"/>
  <c r="A236" i="1"/>
  <c r="I235" i="1"/>
  <c r="G235" i="1"/>
  <c r="A235" i="1"/>
  <c r="I234" i="1"/>
  <c r="G234" i="1"/>
  <c r="A234" i="1"/>
  <c r="I233" i="1"/>
  <c r="G233" i="1"/>
  <c r="A233" i="1"/>
  <c r="I232" i="1"/>
  <c r="G232" i="1"/>
  <c r="A232" i="1"/>
  <c r="G231" i="1"/>
  <c r="A231" i="1"/>
  <c r="I230" i="1"/>
  <c r="G230" i="1"/>
  <c r="A230" i="1"/>
  <c r="G229" i="1"/>
  <c r="A229" i="1"/>
  <c r="G227" i="1"/>
  <c r="A227" i="1"/>
  <c r="G226" i="1"/>
  <c r="A226" i="1"/>
  <c r="I225" i="1"/>
  <c r="G225" i="1"/>
  <c r="A225" i="1"/>
  <c r="I224" i="1"/>
  <c r="G224" i="1"/>
  <c r="A224" i="1"/>
  <c r="I223" i="1"/>
  <c r="G223" i="1"/>
  <c r="A223" i="1"/>
  <c r="A222" i="1"/>
  <c r="A220" i="1"/>
  <c r="G218" i="1"/>
  <c r="A218" i="1"/>
  <c r="G217" i="1"/>
  <c r="A217" i="1"/>
  <c r="I216" i="1"/>
  <c r="G216" i="1"/>
  <c r="A216" i="1"/>
  <c r="G215" i="1"/>
  <c r="A215" i="1"/>
  <c r="I214" i="1"/>
  <c r="G214" i="1"/>
  <c r="A214" i="1"/>
  <c r="G213" i="1"/>
  <c r="A213" i="1"/>
  <c r="I212" i="1"/>
  <c r="G212" i="1"/>
  <c r="A212" i="1"/>
  <c r="A211" i="1"/>
  <c r="I210" i="1"/>
  <c r="G210" i="1"/>
  <c r="A210" i="1"/>
  <c r="I209" i="1"/>
  <c r="G209" i="1"/>
  <c r="A209" i="1"/>
  <c r="I208" i="1"/>
  <c r="G208" i="1"/>
  <c r="A208" i="1"/>
  <c r="I205" i="1"/>
  <c r="G205" i="1"/>
  <c r="A205" i="1"/>
  <c r="I204" i="1"/>
  <c r="G204" i="1"/>
  <c r="A204" i="1"/>
  <c r="I203" i="1"/>
  <c r="G203" i="1"/>
  <c r="A203" i="1"/>
  <c r="I202" i="1"/>
  <c r="G202" i="1"/>
  <c r="A202" i="1"/>
  <c r="I199" i="1"/>
  <c r="G199" i="1"/>
  <c r="A199" i="1"/>
  <c r="I198" i="1"/>
  <c r="G198" i="1"/>
  <c r="A198" i="1"/>
  <c r="I197" i="1"/>
  <c r="G197" i="1"/>
  <c r="A197" i="1"/>
  <c r="I196" i="1"/>
  <c r="G196" i="1"/>
  <c r="A196" i="1"/>
  <c r="I195" i="1"/>
  <c r="G195" i="1"/>
  <c r="A195" i="1"/>
  <c r="I194" i="1"/>
  <c r="G194" i="1"/>
  <c r="A194" i="1"/>
  <c r="I192" i="1"/>
  <c r="G192" i="1"/>
  <c r="A192" i="1"/>
  <c r="I191" i="1"/>
  <c r="G191" i="1"/>
  <c r="A191" i="1"/>
  <c r="I190" i="1"/>
  <c r="G190" i="1"/>
  <c r="A190" i="1"/>
  <c r="I189" i="1"/>
  <c r="G189" i="1"/>
  <c r="A189" i="1"/>
  <c r="I188" i="1"/>
  <c r="G188" i="1"/>
  <c r="A188" i="1"/>
  <c r="I187" i="1"/>
  <c r="G187" i="1"/>
  <c r="A187" i="1"/>
  <c r="I185" i="1"/>
  <c r="G185" i="1"/>
  <c r="A185" i="1"/>
  <c r="I184" i="1"/>
  <c r="G184" i="1"/>
  <c r="A184" i="1"/>
  <c r="I183" i="1"/>
  <c r="G183" i="1"/>
  <c r="A183" i="1"/>
  <c r="I182" i="1"/>
  <c r="G182" i="1"/>
  <c r="A182" i="1"/>
  <c r="I181" i="1"/>
  <c r="G181" i="1"/>
  <c r="A181" i="1"/>
  <c r="I180" i="1"/>
  <c r="G180" i="1"/>
  <c r="A180" i="1"/>
  <c r="I179" i="1"/>
  <c r="G179" i="1"/>
  <c r="A179" i="1"/>
  <c r="I178" i="1"/>
  <c r="G178" i="1"/>
  <c r="A178" i="1"/>
  <c r="I177" i="1"/>
  <c r="G177" i="1"/>
  <c r="A177" i="1"/>
  <c r="I176" i="1"/>
  <c r="G176" i="1"/>
  <c r="A176" i="1"/>
  <c r="I175" i="1"/>
  <c r="G175" i="1"/>
  <c r="A175" i="1"/>
  <c r="I170" i="1"/>
  <c r="G170" i="1"/>
  <c r="A170" i="1"/>
  <c r="I169" i="1"/>
  <c r="G169" i="1"/>
  <c r="A169" i="1"/>
  <c r="G168" i="1"/>
  <c r="A168" i="1"/>
  <c r="G167" i="1"/>
  <c r="A167" i="1"/>
  <c r="G166" i="1"/>
  <c r="A166" i="1"/>
  <c r="I165" i="1"/>
  <c r="G165" i="1"/>
  <c r="A165" i="1"/>
  <c r="I162" i="1"/>
  <c r="G162" i="1"/>
  <c r="A162" i="1"/>
  <c r="I161" i="1"/>
  <c r="G161" i="1"/>
  <c r="A161" i="1"/>
  <c r="A160" i="1"/>
  <c r="I158" i="1"/>
  <c r="G158" i="1"/>
  <c r="A158" i="1"/>
  <c r="I157" i="1"/>
  <c r="G157" i="1"/>
  <c r="A157" i="1"/>
  <c r="I156" i="1"/>
  <c r="G156" i="1"/>
  <c r="A156" i="1"/>
  <c r="G154" i="1"/>
  <c r="A154" i="1"/>
  <c r="I153" i="1"/>
  <c r="G153" i="1"/>
  <c r="A153" i="1"/>
  <c r="G152" i="1"/>
  <c r="A152" i="1"/>
  <c r="I151" i="1"/>
  <c r="G151" i="1"/>
  <c r="A151" i="1"/>
  <c r="I150" i="1"/>
  <c r="G150" i="1"/>
  <c r="A150" i="1"/>
  <c r="A148" i="1"/>
  <c r="I147" i="1"/>
  <c r="G147" i="1"/>
  <c r="A147" i="1"/>
  <c r="A145" i="1"/>
  <c r="A144" i="1"/>
  <c r="I142" i="1"/>
  <c r="G142" i="1"/>
  <c r="A142" i="1"/>
  <c r="A141" i="1"/>
  <c r="I140" i="1"/>
  <c r="G140" i="1"/>
  <c r="A140" i="1"/>
  <c r="A138" i="1"/>
  <c r="G136" i="1"/>
  <c r="A136" i="1"/>
  <c r="I135" i="1"/>
  <c r="G135" i="1"/>
  <c r="A135" i="1"/>
  <c r="G134" i="1"/>
  <c r="A134" i="1"/>
  <c r="I133" i="1"/>
  <c r="G133" i="1"/>
  <c r="A133" i="1"/>
  <c r="I132" i="1"/>
  <c r="G132" i="1"/>
  <c r="A132" i="1"/>
  <c r="A131" i="1"/>
  <c r="I130" i="1"/>
  <c r="G130" i="1"/>
  <c r="A130" i="1"/>
  <c r="I128" i="1"/>
  <c r="G128" i="1"/>
  <c r="A128" i="1"/>
  <c r="I127" i="1"/>
  <c r="G127" i="1"/>
  <c r="A127" i="1"/>
  <c r="I126" i="1"/>
  <c r="G126" i="1"/>
  <c r="A126" i="1"/>
  <c r="I124" i="1"/>
  <c r="G124" i="1"/>
  <c r="A124" i="1"/>
  <c r="I123" i="1"/>
  <c r="G123" i="1"/>
  <c r="A123" i="1"/>
  <c r="I122" i="1"/>
  <c r="G122" i="1"/>
  <c r="A122" i="1"/>
  <c r="I121" i="1"/>
  <c r="G121" i="1"/>
  <c r="A121" i="1"/>
  <c r="G119" i="1"/>
  <c r="A119" i="1"/>
  <c r="I118" i="1"/>
  <c r="G118" i="1"/>
  <c r="A118" i="1"/>
  <c r="I117" i="1"/>
  <c r="G117" i="1"/>
  <c r="A117" i="1"/>
  <c r="I114" i="1"/>
  <c r="G114" i="1"/>
  <c r="A114" i="1"/>
  <c r="I113" i="1"/>
  <c r="G113" i="1"/>
  <c r="A113" i="1"/>
  <c r="I111" i="1"/>
  <c r="G111" i="1"/>
  <c r="A111" i="1"/>
  <c r="I110" i="1"/>
  <c r="G110" i="1"/>
  <c r="A110" i="1"/>
  <c r="A109" i="1"/>
  <c r="I108" i="1"/>
  <c r="G108" i="1"/>
  <c r="A108" i="1"/>
  <c r="I107" i="1"/>
  <c r="G107" i="1"/>
  <c r="A107" i="1"/>
  <c r="I106" i="1"/>
  <c r="G106" i="1"/>
  <c r="A106" i="1"/>
  <c r="I105" i="1"/>
  <c r="G105" i="1"/>
  <c r="A105" i="1"/>
  <c r="I104" i="1"/>
  <c r="G104" i="1"/>
  <c r="A104" i="1"/>
  <c r="I103" i="1"/>
  <c r="G103" i="1"/>
  <c r="A103" i="1"/>
  <c r="I102" i="1"/>
  <c r="G102" i="1"/>
  <c r="A102" i="1"/>
  <c r="I101" i="1"/>
  <c r="G101" i="1"/>
  <c r="A101" i="1"/>
  <c r="I100" i="1"/>
  <c r="G100" i="1"/>
  <c r="A100" i="1"/>
  <c r="I99" i="1"/>
  <c r="G99" i="1"/>
  <c r="A99" i="1"/>
  <c r="I98" i="1"/>
  <c r="G98" i="1"/>
  <c r="A98" i="1"/>
  <c r="I97" i="1"/>
  <c r="G97" i="1"/>
  <c r="A97" i="1"/>
  <c r="I96" i="1"/>
  <c r="G96" i="1"/>
  <c r="A96" i="1"/>
  <c r="I95" i="1"/>
  <c r="G95" i="1"/>
  <c r="A95" i="1"/>
  <c r="I94" i="1"/>
  <c r="G94" i="1"/>
  <c r="A94" i="1"/>
  <c r="I93" i="1"/>
  <c r="G93" i="1"/>
  <c r="A93" i="1"/>
  <c r="I92" i="1"/>
  <c r="G92" i="1"/>
  <c r="A92" i="1"/>
  <c r="I91" i="1"/>
  <c r="G91" i="1"/>
  <c r="A91" i="1"/>
  <c r="G90" i="1"/>
  <c r="A90" i="1"/>
  <c r="I89" i="1"/>
  <c r="G89" i="1"/>
  <c r="A89" i="1"/>
  <c r="A88" i="1"/>
  <c r="I87" i="1"/>
  <c r="G87" i="1"/>
  <c r="A87" i="1"/>
  <c r="I86" i="1"/>
  <c r="G86" i="1"/>
  <c r="A86" i="1"/>
  <c r="I84" i="1"/>
  <c r="G84" i="1"/>
  <c r="A84" i="1"/>
  <c r="I82" i="1"/>
  <c r="G82" i="1"/>
  <c r="A82" i="1"/>
  <c r="I81" i="1"/>
  <c r="G81" i="1"/>
  <c r="A81" i="1"/>
  <c r="G80" i="1"/>
  <c r="A80" i="1"/>
  <c r="I79" i="1"/>
  <c r="G79" i="1"/>
  <c r="A79" i="1"/>
  <c r="I78" i="1"/>
  <c r="G78" i="1"/>
  <c r="A78" i="1"/>
  <c r="I77" i="1"/>
  <c r="G77" i="1"/>
  <c r="A77" i="1"/>
  <c r="I76" i="1"/>
  <c r="G76" i="1"/>
  <c r="A76" i="1"/>
  <c r="I75" i="1"/>
  <c r="G75" i="1"/>
  <c r="A75" i="1"/>
  <c r="I74" i="1"/>
  <c r="G74" i="1"/>
  <c r="A74" i="1"/>
  <c r="I73" i="1"/>
  <c r="G73" i="1"/>
  <c r="A73" i="1"/>
  <c r="G72" i="1"/>
  <c r="A72" i="1"/>
  <c r="I71" i="1"/>
  <c r="G71" i="1"/>
  <c r="A71" i="1"/>
  <c r="I70" i="1"/>
  <c r="G70" i="1"/>
  <c r="A70" i="1"/>
  <c r="I69" i="1"/>
  <c r="G69" i="1"/>
  <c r="A69" i="1"/>
  <c r="I68" i="1"/>
  <c r="G68" i="1"/>
  <c r="A68" i="1"/>
  <c r="I67" i="1"/>
  <c r="G67" i="1"/>
  <c r="A67" i="1"/>
  <c r="I66" i="1"/>
  <c r="G66" i="1"/>
  <c r="A66" i="1"/>
  <c r="I65" i="1"/>
  <c r="G65" i="1"/>
  <c r="A65" i="1"/>
  <c r="I63" i="1"/>
  <c r="G63" i="1"/>
  <c r="A63" i="1"/>
  <c r="I62" i="1"/>
  <c r="G62" i="1"/>
  <c r="A62" i="1"/>
  <c r="I61" i="1"/>
  <c r="G61" i="1"/>
  <c r="A61" i="1"/>
  <c r="I60" i="1"/>
  <c r="G60" i="1"/>
  <c r="A60" i="1"/>
  <c r="A59" i="1"/>
  <c r="I54" i="1"/>
  <c r="G54" i="1"/>
  <c r="A54" i="1"/>
  <c r="I53" i="1"/>
  <c r="G53" i="1"/>
  <c r="A53" i="1"/>
  <c r="I52" i="1"/>
  <c r="G52" i="1"/>
  <c r="A52" i="1"/>
  <c r="I51" i="1"/>
  <c r="G51" i="1"/>
  <c r="A51" i="1"/>
  <c r="I50" i="1"/>
  <c r="G50" i="1"/>
  <c r="A50" i="1"/>
  <c r="A49" i="1"/>
  <c r="G48" i="1"/>
  <c r="A48" i="1"/>
  <c r="I47" i="1"/>
  <c r="G47" i="1"/>
  <c r="A47" i="1"/>
  <c r="I46" i="1"/>
  <c r="G46" i="1"/>
  <c r="A46" i="1"/>
  <c r="I44" i="1"/>
  <c r="G44" i="1"/>
  <c r="A44" i="1"/>
  <c r="I43" i="1"/>
  <c r="G43" i="1"/>
  <c r="A43" i="1"/>
  <c r="I42" i="1"/>
  <c r="G42" i="1"/>
  <c r="A42" i="1"/>
  <c r="I40" i="1"/>
  <c r="G40" i="1"/>
  <c r="A40" i="1"/>
  <c r="I39" i="1"/>
  <c r="G39" i="1"/>
  <c r="A39" i="1"/>
  <c r="I38" i="1"/>
  <c r="G38" i="1"/>
  <c r="A38" i="1"/>
  <c r="I37" i="1"/>
  <c r="G37" i="1"/>
  <c r="A37" i="1"/>
  <c r="I36" i="1"/>
  <c r="G36" i="1"/>
  <c r="A36" i="1"/>
  <c r="I35" i="1"/>
  <c r="G35" i="1"/>
  <c r="A35" i="1"/>
  <c r="I34" i="1"/>
  <c r="G34" i="1"/>
  <c r="A34" i="1"/>
  <c r="I33" i="1"/>
  <c r="G33" i="1"/>
  <c r="A33" i="1"/>
  <c r="I32" i="1"/>
  <c r="G32" i="1"/>
  <c r="A32" i="1"/>
  <c r="I31" i="1"/>
  <c r="G31" i="1"/>
  <c r="A31" i="1"/>
  <c r="I30" i="1"/>
  <c r="G30" i="1"/>
  <c r="A30" i="1"/>
  <c r="I29" i="1"/>
  <c r="G29" i="1"/>
  <c r="A29" i="1"/>
  <c r="I28" i="1"/>
  <c r="G28" i="1"/>
  <c r="A28" i="1"/>
  <c r="G27" i="1"/>
  <c r="A27" i="1"/>
  <c r="I26" i="1"/>
  <c r="G26" i="1"/>
  <c r="A26" i="1"/>
  <c r="I25" i="1"/>
  <c r="G25" i="1"/>
  <c r="A25" i="1"/>
  <c r="I24" i="1"/>
  <c r="G24" i="1"/>
  <c r="A24" i="1"/>
  <c r="I23" i="1"/>
  <c r="G23" i="1"/>
  <c r="A23" i="1"/>
  <c r="I21" i="1"/>
  <c r="G21" i="1"/>
  <c r="A21" i="1"/>
  <c r="I20" i="1"/>
  <c r="G20" i="1"/>
  <c r="A20" i="1"/>
  <c r="I19" i="1"/>
  <c r="G19" i="1"/>
  <c r="A19" i="1"/>
  <c r="I18" i="1"/>
  <c r="G18" i="1"/>
  <c r="A18" i="1"/>
  <c r="I17" i="1"/>
  <c r="G17" i="1"/>
  <c r="A17" i="1"/>
  <c r="G16" i="1"/>
  <c r="A16" i="1"/>
  <c r="I15" i="1"/>
  <c r="G15" i="1"/>
  <c r="A15" i="1"/>
  <c r="I14" i="1"/>
  <c r="G14" i="1"/>
  <c r="A14" i="1"/>
  <c r="G13" i="1"/>
  <c r="A13" i="1"/>
  <c r="I12" i="1"/>
  <c r="G12" i="1"/>
  <c r="A12" i="1"/>
  <c r="I10" i="1"/>
  <c r="G10" i="1"/>
  <c r="A10" i="1"/>
  <c r="I9" i="1"/>
  <c r="G9" i="1"/>
  <c r="A9" i="1"/>
  <c r="I8" i="1"/>
  <c r="G8" i="1"/>
  <c r="A8" i="1"/>
  <c r="I7" i="1"/>
  <c r="G7" i="1"/>
  <c r="A7" i="1"/>
  <c r="A6" i="1"/>
</calcChain>
</file>

<file path=xl/sharedStrings.xml><?xml version="1.0" encoding="utf-8"?>
<sst xmlns="http://schemas.openxmlformats.org/spreadsheetml/2006/main" count="829" uniqueCount="300">
  <si>
    <t>Computer Associates Software Maintenance  ITS 2010/404</t>
  </si>
  <si>
    <t>Consumer publications Warehouse &amp; Distribution  Contract 1  CPD2013-6015  2013-002066</t>
  </si>
  <si>
    <t xml:space="preserve">Provision of Long Term Maintenance Agreement (LTMA) for ASIC's Security Systems Network - Contract 140  2012-003975  2013-005795 </t>
  </si>
  <si>
    <t>Media Monitoring  Contract 149  2012-003835 ECM2011-8344 Order 2013-2</t>
  </si>
  <si>
    <t>Hardware/Software maintenance &amp; support  Contract 150  2012-003888</t>
  </si>
  <si>
    <t>National Freight and Courier Services  Contract 191  2011/26638  ECM 2011-009822</t>
  </si>
  <si>
    <t>Software Support  Contract 157  2013-005966  2013-000492</t>
  </si>
  <si>
    <t>Software maintenance  Contract 222  2011-006792</t>
  </si>
  <si>
    <t>Disposal services for IT Hardware over 3 years.  Contract 226  2013-005065</t>
  </si>
  <si>
    <t>Microsoft VSAII Agency Enterprise Enrolment (AEE)  Contract 273  2013-004511/2</t>
  </si>
  <si>
    <t>UPS National Maintenance  Contract 318  2013-001710</t>
  </si>
  <si>
    <t>Maintenance IT air conditioning units  Contract 317  2013-001713</t>
  </si>
  <si>
    <t>IT contractor  Contract 290  11.50-PAXUS  2011-009570</t>
  </si>
  <si>
    <t>Secure Document disposal  Contract 357   2011-010647</t>
  </si>
  <si>
    <t>IT Contractor  Contract 356  11:50 PAXUS  2011-009570  FA482929</t>
  </si>
  <si>
    <t>ICT Security Assessment &amp; Penetration Testing Services  Contract  300</t>
  </si>
  <si>
    <t>IT Programme Manager  Contract 424  2011-009570  11:50 CLICKS</t>
  </si>
  <si>
    <t>IBM Lincensed Programme Renewal  Contract 408  2013-006756</t>
  </si>
  <si>
    <t>IT Business Analyst  2011-009570  Contract 432</t>
  </si>
  <si>
    <t xml:space="preserve">IT Contractor  Contract 415 </t>
  </si>
  <si>
    <t>IT Contract Manager  Contract 396  11:50 CLARIUS</t>
  </si>
  <si>
    <t>Information Management Specialist  Contract 414 2011-009570</t>
  </si>
  <si>
    <t>Remedy Analyst - IT Contractor  Contract 431  2011-009570</t>
  </si>
  <si>
    <t>Storage Engineer IT Contractor  Contract 416  2011-009570</t>
  </si>
  <si>
    <t>Melbourne Relocation project furniture  Contract 475  2013-003485-3 (Novation) 2013-006349</t>
  </si>
  <si>
    <t>Engineer Contractor  Contract 433  2011-009570</t>
  </si>
  <si>
    <t>IT Contractor  Contract 465  A3620506</t>
  </si>
  <si>
    <t>SAO Stack Licence Support &amp; Maintenance Renewal  contract 508  2011-006787</t>
  </si>
  <si>
    <t>Contractor - systems accounting for 6 months.  Contract 520  2013-001923/3  2014-000251</t>
  </si>
  <si>
    <t>IT Contractor  Contract 490  2011-009570</t>
  </si>
  <si>
    <t>Contractor Snr Mgr (Management Accounting) Contract 519  2013-001923/5  2014-000250</t>
  </si>
  <si>
    <t>Video conference maintenance &amp; support services, initial contract 3 years.  Contract 496  2013-005013-2</t>
  </si>
  <si>
    <t>Video Conferencing Hardware/Software Acquisition &amp; Maintenance Contract 523  2013-0021145(FA541025)</t>
  </si>
  <si>
    <t>Legal Secondment Procurement  Contract 584  2014-001160</t>
  </si>
  <si>
    <t>Oracle Policy Automation Enterprise Bundle Licence Renewal  Contract 589 2011-006786</t>
  </si>
  <si>
    <t>Samsung all-in-one rollout as part of windows Ugrade.  Contract 515   2014-000845  2014-000077</t>
  </si>
  <si>
    <t>IT Project Manager  Contract 601   2011-009570</t>
  </si>
  <si>
    <t>Counsel  Contract 615</t>
  </si>
  <si>
    <t>Project  Contract 612  2011-005298/10</t>
  </si>
  <si>
    <t>IT Contractor  Contract 606   2012-009570</t>
  </si>
  <si>
    <t>IT Servers with maintenance and support for 3 years  Contract631  2013-005823-7  2013-007302</t>
  </si>
  <si>
    <t>Forensic Accounting Services  Contract 581  20130628  2013-002722</t>
  </si>
  <si>
    <t>Oracle Enterprise Taxation Management (ETM) Licence Renewal  Contract 642  2011-006791</t>
  </si>
  <si>
    <t>Oracle PeopleSoft Maintenance and Support  Contract 640  2013-005780</t>
  </si>
  <si>
    <t>Cost Model Financial Analyst  Contract 654  2014-0101242  20131003</t>
  </si>
  <si>
    <t>Intrusion Prevention / Intrusion Detection (IPS/IDS) System  Contract 689  2014-001133 (FA545455)</t>
  </si>
  <si>
    <t>Hitachi Virtual Storage Platform (VSP) Midrange  Contract 683  2013-002277 (FA549189)</t>
  </si>
  <si>
    <t>Additional NewApp Storage for Data Centres Ultimo &amp; Homebush</t>
  </si>
  <si>
    <t>End Point Protection software and support, training and implementation  Contract 602  2013-005667 2013-005823-2</t>
  </si>
  <si>
    <t>IT Hardware - F5 Viprion Blades  Contract 695  20123-005823-7</t>
  </si>
  <si>
    <t>Microsoft System Datacenter Edition - Licence and Software Assurance  Contract 718  2013-004511/2</t>
  </si>
  <si>
    <t>Design and usability testing services for asic.gov.au replatforming  Contract 531  2014-000698  ECM(A4002572)</t>
  </si>
  <si>
    <t>IT Project Manager  Contract 732</t>
  </si>
  <si>
    <t>Legal Services  Contract 746</t>
  </si>
  <si>
    <t>Consultant for target operating model for Regulatory Business.  Contract 740  2012-003149 (FA550806)</t>
  </si>
  <si>
    <t xml:space="preserve">Usability Consultants for ASIC Portal Redesign  Contract 728  2012-003152 </t>
  </si>
  <si>
    <t>Market Structure &amp; Competition costs recovery regime support services  Contract 745</t>
  </si>
  <si>
    <t>Information Management Architect  Contract 690  20102-003149 (FA549403)</t>
  </si>
  <si>
    <t>Provision and support of Servers (G8 Blades &amp; Enclosures)  Contract 758  2011-007624 (FA 547709)</t>
  </si>
  <si>
    <t>Lotus Notes Developer  Contract 743  2011-9570</t>
  </si>
  <si>
    <t>Senior Project Manager  Contract 733</t>
  </si>
  <si>
    <t>Contractor - IT Project Manager  Contract 789  2011-009570</t>
  </si>
  <si>
    <t>Conference venue, catering and accommodation services for ASIC Annual Forum</t>
  </si>
  <si>
    <t>Additional Funds - Homebush Data Centre and Standard Service Charges  Contract 824  2011-006782</t>
  </si>
  <si>
    <t>Moneysmart - Campaign Advertising placement  2012  Contract 815 (FA552996)</t>
  </si>
  <si>
    <t>Managed Service for Website End User Experience monitoring  Contract 748  2014-000138</t>
  </si>
  <si>
    <t>EEO (Equal Employment Opportunity) online and inclusion skills programme.  Contract 777  2012-006212/20</t>
  </si>
  <si>
    <t>Legal Services  Contract 829</t>
  </si>
  <si>
    <t>Multiple Calculations Development  Contract 794  2013-001687 (FA547316)</t>
  </si>
  <si>
    <t>Power and network cabling.  Contract 812  2014-00824</t>
  </si>
  <si>
    <t>IT Program Director  2011-009570  Contract 843</t>
  </si>
  <si>
    <t>Mainframe replacement and software  Contract 915</t>
  </si>
  <si>
    <t>Hitachi Virtual Storage Platform (VSP) Midrange Support &amp; Maintenance  Contract 911  2013-002277</t>
  </si>
  <si>
    <t xml:space="preserve">Maianframe replication for the Ultimo and Homebush datacentres.  Contract 877  2013-002277 </t>
  </si>
  <si>
    <t>HP Blade infrastructure - G8 Blades and enclosures part 2.  Contract 850  2011-007624/1  2011-007627</t>
  </si>
  <si>
    <t>Analysis of Market Integrity Group (MIG) workflow and case management.  Contract 882  127074-33</t>
  </si>
  <si>
    <t>Additional Hardware for the Homebush and Ultimo data centres  Contract 891  2011-006615</t>
  </si>
  <si>
    <t>Bluecoat hardware support and maintenance  Contract 919  2013-005823-1</t>
  </si>
  <si>
    <t xml:space="preserve">Electronic Agreement for 2015-16   Contract 945  2013-006230 </t>
  </si>
  <si>
    <t>NetApp Hardware and Support &amp; Maintenance  Contract 950  2011-006696</t>
  </si>
  <si>
    <t>Hitachi Virtual Storage Platform (VSP)  Contract 953  2013-002277</t>
  </si>
  <si>
    <t>Delivery of the financial literecy component associated with OECD's programme for International Student Assessment.  Contract 971</t>
  </si>
  <si>
    <t>Training for the Client Contact Centre  Contract 954  2012-006212/4  2013-007917</t>
  </si>
  <si>
    <t>Microsoft Sharepoint Server Licences  Contract 973  2013-004511/2</t>
  </si>
  <si>
    <t>Windows 7 VDI Flash Storage Solution  Contract 959 2014-000927</t>
  </si>
  <si>
    <t>Microsoft Dynamics Licences/SQL Servers Licences  Contract 978  2013-004511/2</t>
  </si>
  <si>
    <t>Renewal of yearly myki tickets</t>
  </si>
  <si>
    <t>IT Services</t>
  </si>
  <si>
    <t>Audit commitee sitting fee COM06/30710 - extra amount for the years 30/01/11 - 29/01/14</t>
  </si>
  <si>
    <t>External printing, packaging &amp; distribution services.</t>
  </si>
  <si>
    <t xml:space="preserve">Interview Recording Equipment - Portable and Static units &amp; preventative maintenance (to be delivered over a 3 year period).  ISP2012/29249  ISP 2009/9076  </t>
  </si>
  <si>
    <t xml:space="preserve">2009/002470 - Management of documents 2011 - 2014   </t>
  </si>
  <si>
    <t xml:space="preserve">ITS2009/9949 - HP hardware and maintenance.   </t>
  </si>
  <si>
    <t>DocImage support.  2011-006581</t>
  </si>
  <si>
    <t>Audit Services</t>
  </si>
  <si>
    <t>isp 2008/31692(2)</t>
  </si>
  <si>
    <t>Early Case Assessment Software and Services</t>
  </si>
  <si>
    <t>ITS2009/30870(1) - IT Facilities Management Services</t>
  </si>
  <si>
    <t>Managed print services</t>
  </si>
  <si>
    <t>Tape Library</t>
  </si>
  <si>
    <t>Coding Software and Services over 3 years.  2011-000021-2</t>
  </si>
  <si>
    <t>Supply of electronic legal research services</t>
  </si>
  <si>
    <t>Advertising Monitoring Services Metro Areas of Australia  -  2012-002334</t>
  </si>
  <si>
    <t>Stationery &amp; Office Supplies  Ref: ISP2012/5092  2012-001768</t>
  </si>
  <si>
    <t>Provision of Technical Surveillance Counter Measure Services  Ref ISP2011/003387</t>
  </si>
  <si>
    <t>Market Surveillance System  Contract 142  ISP 2012/7248  2012-00853</t>
  </si>
  <si>
    <t>Provision of examination for SMSF Auditors SIP 2012/16954  2012-003189</t>
  </si>
  <si>
    <t>Software Support Services  Ref. 2012-003232</t>
  </si>
  <si>
    <t>Software Licence and Support Renewal - 4th Instalment. ITS 2009/11821 - 5th Installment Contract 430  2011-006788</t>
  </si>
  <si>
    <t>Mobile Telecommunication Services  2012-001859</t>
  </si>
  <si>
    <t>PBX Maintenance and Supply  ISP2012/4227 2012/14192  2013-005298</t>
  </si>
  <si>
    <t>Counselling Services for ASIC employees and Manager assist  ISP 2012-28604  2012- 004581 2013-2016</t>
  </si>
  <si>
    <t>Accommodation Program Management Services</t>
  </si>
  <si>
    <t>Fixed Voice Telecommunications Services  2012-001878</t>
  </si>
  <si>
    <t>Provision of reception services Traralgon  2012-003571</t>
  </si>
  <si>
    <t>Dark Fibre Services  2012-001878(A)</t>
  </si>
  <si>
    <t>BMC Remedy Support and additional licenses  ITS2011/006698  2013-004685  2010-004685  Support Contract No. 448623</t>
  </si>
  <si>
    <t>Network and Internet Telecommunications Services 2012-001860</t>
  </si>
  <si>
    <t>Co-sourced internal audit services</t>
  </si>
  <si>
    <t>Start date</t>
  </si>
  <si>
    <t>Anticipated end date</t>
  </si>
  <si>
    <t>Contractor</t>
  </si>
  <si>
    <t>Subject matter</t>
  </si>
  <si>
    <t>Value (incl GST) $</t>
  </si>
  <si>
    <t xml:space="preserve"> Contract Confidential? </t>
  </si>
  <si>
    <t>Reason(s)</t>
  </si>
  <si>
    <t xml:space="preserve">Contract Outputs Confidential? </t>
  </si>
  <si>
    <t>Data Centre Facilities</t>
  </si>
  <si>
    <t>Advice re Portals procurement  Contract 452  2013-000329/2  2013-001513</t>
  </si>
  <si>
    <t>Infrastructure Designer  Contract 549 2011-009570</t>
  </si>
  <si>
    <t>Case 360 and Docimage Integration (incl Professional services and license support)  Contract 988.  (Previously contract 197)</t>
  </si>
  <si>
    <t>Adobe Enterprises term licensing agreement software  Contract 1057  2013-005823-2</t>
  </si>
  <si>
    <t>Online calculators and ongoing maintenance &amp; warranty related services  Contract 1029  2013-001687  FA556601</t>
  </si>
  <si>
    <t>Work Order 1 - Software licensing and services  Contract 1054  2013-007381</t>
  </si>
  <si>
    <t>Software - monitor tool  Contract 942  2014-00138</t>
  </si>
  <si>
    <t>Production scanners for Traralgon  Contract 1037  2014-002365</t>
  </si>
  <si>
    <t>Supply and install - contract management system Contract 1015  2014-002182</t>
  </si>
  <si>
    <t>Scoping Study for Workforce Planning  Contract 972  2012-006212/2  2013-007909</t>
  </si>
  <si>
    <t>Software - Additional licenses and upgrade  Contract 1026</t>
  </si>
  <si>
    <t>NetApp support and maintenance  Contract 968  2011-006696</t>
  </si>
  <si>
    <t>Engagement of temporary security officers  Contract 890  2013-001953  FA554419</t>
  </si>
  <si>
    <t>AirWatch MDM Solution Professional Services and Training  Contract 1009  2013-005823-8</t>
  </si>
  <si>
    <t>Maintenance and support of IBM Lotus CEO, DB2, Informix and websphere MQ Software Suite</t>
  </si>
  <si>
    <t>Independent quality assurance services  Contract 1076  A4218142  127074-33</t>
  </si>
  <si>
    <t>IBM Cognos and IBM Test Management Software  Contract 1081  AQ31583</t>
  </si>
  <si>
    <t>ASIC's Identity &amp; Access Management Specialist  Contract 1068</t>
  </si>
  <si>
    <t>IT Project Manager  Contract 996</t>
  </si>
  <si>
    <t>IT Solution Engineer  Contract 1070  11.50 COMPAS</t>
  </si>
  <si>
    <t>IT Team Leader - Solutions &amp; applications design  Contract 1045  2011-009570</t>
  </si>
  <si>
    <t>IT Senior Business Analyst  Contract 1058  2011-009570</t>
  </si>
  <si>
    <t>IT Business Analyst  Contract 1069</t>
  </si>
  <si>
    <t>Counsel  ISP2010/36362  2013-001472</t>
  </si>
  <si>
    <t>Counsel  Contract 75   ISP2012/7251  2012-001286</t>
  </si>
  <si>
    <t>ISP2012/373   Insolvency Notices Website Development and Hosting Services</t>
  </si>
  <si>
    <t>VMWare consultancy services_software currency with security considerations  2012-002262 - 2011-006147, 2011-005809  QA28266  Contract 320  Amendment 1 CN168895  Amendment 2 CN411846  Amendment 3 CN693091-A1  Amendment 4 CN693091-A2</t>
  </si>
  <si>
    <t>Engagement of Counsel  ISP2011-17765(1)  11-20048</t>
  </si>
  <si>
    <t>Microsoft Premier Support Services  ITS 2010-404</t>
  </si>
  <si>
    <t>Yes</t>
  </si>
  <si>
    <t>Contract Confidentiality Reasons</t>
  </si>
  <si>
    <t>Given that the report received has qualified privilege</t>
  </si>
  <si>
    <t>* Note 1</t>
  </si>
  <si>
    <t>ASIC expressly maintains its claim for legal professional privilege over confidential communications or documents provided or created in the course of this agreement. ASIC's compliance with the Senate Order for Departmental and Agency Contracts (Calendar year 2013 Compliance) does not constitute, in any way, an express or implied waiver of ASIC's claim for legal professional privilege over this material.</t>
  </si>
  <si>
    <t>Confidentiality Reasons</t>
  </si>
  <si>
    <t>Disclosure would reveal artistic, literary or cultural secrets.</t>
  </si>
  <si>
    <t>Disclosure would reveal the contractor's internal costing information or about it's profit margin.</t>
  </si>
  <si>
    <t>Disclosure would reveal intellectual property or trade secrets which are judged to have the potential to cause detriment to the contractor.</t>
  </si>
  <si>
    <t>Disclosure would be contrary to the public interest.</t>
  </si>
  <si>
    <t>Disclosure would be contrary to statutory secrecy provisions.</t>
  </si>
  <si>
    <t>Disclosure would be contrary to the Privacy Act 1988.</t>
  </si>
  <si>
    <t>2 &amp; 3</t>
  </si>
  <si>
    <t>Senate Order on Department and Agency Contracts listing relating to the period</t>
  </si>
  <si>
    <t>Other - See note 1</t>
  </si>
  <si>
    <t>No</t>
  </si>
  <si>
    <t>The estimated cost of complying with this order, based on hourly rate calculations for each level of officer involved in the process is $920</t>
  </si>
  <si>
    <t>SENATE ORDER ON DEPARTMENT AND AGENCY CONTRACTS LISTING RELATING TO THE PERIOD:  January - December 2014</t>
  </si>
  <si>
    <t xml:space="preserve">1 January - 31 December 2014 </t>
  </si>
  <si>
    <r>
      <t xml:space="preserve">Pursuant to the Senate Order on the departmental and agency contracts the following table sets out contracts entered into by the </t>
    </r>
    <r>
      <rPr>
        <sz val="10"/>
        <rFont val="Arial"/>
        <family val="2"/>
      </rPr>
      <t>Australian Securities and Investments Commission</t>
    </r>
    <r>
      <rPr>
        <sz val="10"/>
        <color indexed="8"/>
        <rFont val="Arial"/>
        <family val="2"/>
      </rPr>
      <t xml:space="preserve"> which provides for a consideration to the value of $100,000 or more and which (a) have not been fully performed as at 31 December 2014 or (b) which have been entered into during the 12 months prior to 31 December 2014</t>
    </r>
  </si>
  <si>
    <t>SHERWIN FINANCIAL PLANNERS PTY LTD (Stefan Dopking, FTI Consulting)</t>
  </si>
  <si>
    <t>Assetless Administration Fund: Preliminary investigations and reports by liquidators into the failure of companies with few or no assets</t>
  </si>
  <si>
    <t>PROVIDENT CAPITAL LIMITED             (Anthony McGrath, McGrathNicol)</t>
  </si>
  <si>
    <t>Contractor Services  Contract 513  2014-000814</t>
  </si>
  <si>
    <t>IT Project Manager  Contract 554  2011-009570</t>
  </si>
  <si>
    <t>Legal Secondment  Contract 585  2014-001161</t>
  </si>
  <si>
    <t>Legal Procurement  Contract 587  2014-001299</t>
  </si>
  <si>
    <t>IT Contractor - Technical Lead  Contract 787  2011-009570</t>
  </si>
  <si>
    <t>Legal Services  Contract 823  2014-002320</t>
  </si>
  <si>
    <t>Legal Secondment  Contract 770  2014-002109</t>
  </si>
  <si>
    <t>Legal Services  Contract 865</t>
  </si>
  <si>
    <t>Service Desk Process Manager  Contract 854  11.50 GREYTHORN</t>
  </si>
  <si>
    <t>IT Infrastructure Designer  Contract 857  2011-009570</t>
  </si>
  <si>
    <t>IT Service Delivery Manager  Contract 837  2011-009570  11.50 GREYTHORN</t>
  </si>
  <si>
    <t>Software Licences  Contract 1040  2014-003961</t>
  </si>
  <si>
    <t>WinServer &amp; Desktop Administrator  Contract 918  2011-009570</t>
  </si>
  <si>
    <t>Legal Support  Contract 1149  A4237708  2013-000329/1</t>
  </si>
  <si>
    <t>Provision of Secure Internet Gateway  Contract 1132  2013-007793</t>
  </si>
  <si>
    <t>Provision of temporary personnel for Risk &amp; Sceurity Services   Contract 1156  2013-005087-2  2014-003008 (FA560261)</t>
  </si>
  <si>
    <t>IRESS Licenses  Contract 1090</t>
  </si>
  <si>
    <t>Contractor  Contract 1136  2011-009570</t>
  </si>
  <si>
    <t>Electricity for Sydney - Market St  Contract 1198  A4250916</t>
  </si>
  <si>
    <t>Melbourne Electricity - Collins St.  Contract 1208  FA561396</t>
  </si>
  <si>
    <t>Secondment expenses  Contract 1116  2013-000329/3  2013-001513</t>
  </si>
  <si>
    <t>Thomson Reuters Print Agreement FY 14/15</t>
  </si>
  <si>
    <t>Recruitment for contractor  11.50 CLICKS  FA560613</t>
  </si>
  <si>
    <t>Snr IT Systems Analyst contractor  11.50 COMPAS A4237752</t>
  </si>
  <si>
    <t>Electronic Research Services  Contract 1005  2013-006230</t>
  </si>
  <si>
    <t>Business Consultancy Services  Contract 1174  2012-003149</t>
  </si>
  <si>
    <t>Temporary resources for content migration of web content for ASIC replatforming project  Contract 1184  2013-001923/4  A4243463</t>
  </si>
  <si>
    <t>IT Reporting Benefits Management Services  Contract 1204  2012-003156</t>
  </si>
  <si>
    <t>Remedy Analyst  Contract 1169  FA 560824</t>
  </si>
  <si>
    <t>SOE Engineering  Contract 1145  11.50 CLARIUS  2011-009570</t>
  </si>
  <si>
    <t>Security Services for Sydney  Contract 1223  2014-00876</t>
  </si>
  <si>
    <t>Security Services for Traralgon  Contract 1225  2014-00876</t>
  </si>
  <si>
    <t>Security Services for Melbourne  Contract 1224  2014-00876-02</t>
  </si>
  <si>
    <t>Notes Administrator  Contract 1202  FA562183  11.50 CLICKS</t>
  </si>
  <si>
    <t>Senior IT Manager - Contractor  Contract 1200  11.50 Greythorn  FA562136</t>
  </si>
  <si>
    <t>Print Agreement  Contract 1244j  2013-006230</t>
  </si>
  <si>
    <t>Sofware &amp; Hardware support and maintenance  Contract 1240  2013-005823-5  2013-007306 (FA565116)</t>
  </si>
  <si>
    <t>Secondment - legal services  Contract 1245  2013-000329/10</t>
  </si>
  <si>
    <t>Temp IT staff  Contract 1262  2013-001923/3 (FA565802)</t>
  </si>
  <si>
    <t>Sybase Software Support Renewal  Contract 1247  2010-001207 (FA565453)</t>
  </si>
  <si>
    <t>Microsoft Systems Analyst  Contract 1250  SODS10/0458</t>
  </si>
  <si>
    <t>Expert Witness  Contract 1252</t>
  </si>
  <si>
    <t>IT Contractor  Contract 1241</t>
  </si>
  <si>
    <t>IT Contractor  Contract 1303  2014-003956 (FA567892)</t>
  </si>
  <si>
    <t>Contingency staff  Contract 1231</t>
  </si>
  <si>
    <t>Additional Cleaning Services  Contract 1346  A4299321</t>
  </si>
  <si>
    <t>IT Solution Designer  Contract 1310  FA567432</t>
  </si>
  <si>
    <t>IT Business Analyst  Contract 1295  FA 567340</t>
  </si>
  <si>
    <t>Program Manager  Contract 1277  11.50 Greythorn  FA566818</t>
  </si>
  <si>
    <t>IT Professional Services  Contract 1285  2012-003152 (FA567079)</t>
  </si>
  <si>
    <t>Programme Manager Services  Contract 1312  FA568206  11.50 PAXUS</t>
  </si>
  <si>
    <t>Application Hosting &amp; System Administration  Contract 1361  2014-003874</t>
  </si>
  <si>
    <t>Business Consultant  Contract 1389  2014-003956 (FA571267)</t>
  </si>
  <si>
    <t>Senior Fin Systems Mgr  Contract 1311 2013-001923</t>
  </si>
  <si>
    <t>IT Project Manager  Contract 1329  2013-001923/4 FA568943</t>
  </si>
  <si>
    <t>IT Solution Designer  Contract 1321  11.50-TALENT</t>
  </si>
  <si>
    <t>Data Modelling Designer  Contract 1349   FA56927  11.50 COMPAS</t>
  </si>
  <si>
    <t>eLibrary online services  Contract 1425</t>
  </si>
  <si>
    <t>Work Order No. 2 implementation - management system  Contract 1395  2014-003001  2013-007381</t>
  </si>
  <si>
    <t>Temporary Contractor Contract 1403 11.50 GREYTHORN</t>
  </si>
  <si>
    <t>IT Contractor Proj Mgr  Contract 1369  2013-001923/4  FA570501</t>
  </si>
  <si>
    <t>IT Contractor  Contract 1404  11.50 REDCORE</t>
  </si>
  <si>
    <t>Business Processes and patterns consult.  Contract 1434  2012-003149 (FA572712)</t>
  </si>
  <si>
    <t>Solution Designer Contract 1391  11.50 GREYTHORN</t>
  </si>
  <si>
    <t>Application Process Manager  Contract 1392</t>
  </si>
  <si>
    <t>Compliance Services   Contract 1394 2014-002733</t>
  </si>
  <si>
    <t>Catering Contract 1484  2013-006125 ORDER IN</t>
  </si>
  <si>
    <t>Software maintenance  Contract 1481  2011-006789</t>
  </si>
  <si>
    <t xml:space="preserve">Engineer Contractor  Contract 1455  FA574241  11.50 CLICKS </t>
  </si>
  <si>
    <t>Software and Support  Contract 1509  2013-005823-3  2013-007308  FA575600</t>
  </si>
  <si>
    <t>Software implementationand monitoring services  Contract1439</t>
  </si>
  <si>
    <t>ASIC's MoneySmart Teaching Evaluation  Contract 1431</t>
  </si>
  <si>
    <t>Software licence and Support Renewal  Contract 1525  2011-006788 (FA577635)</t>
  </si>
  <si>
    <t>IBM Licensed Programme Renewal 2015  Contract 1526  2013-006756  (FA577637)</t>
  </si>
  <si>
    <t>Secondment - Forensic  Contract 1514  2012-002722  2013-0628</t>
  </si>
  <si>
    <t>Netapp disk shelf for Data Centres incl installation &amp; support  Contract 1550</t>
  </si>
  <si>
    <t>Business Processes &amp; Patterns Consultants  Contract 1559  2014-003956  FA 578432</t>
  </si>
  <si>
    <t>Information Data Modelling Designer  Contract 1555  11.50 COMPAS</t>
  </si>
  <si>
    <t>IT Business Analyst  Contract 1544  FA578156  11.50 CLICKS</t>
  </si>
  <si>
    <t>IT Programme Manager  Contract 1512  Fa577094</t>
  </si>
  <si>
    <t>IT Microsoft Dynamics Solution Architect  Contract 1507  2014-006033 FA 576288</t>
  </si>
  <si>
    <t>IT Business Analyst  Contract 1545  FA578161</t>
  </si>
  <si>
    <t>IT Project Manager  Contract 1513  FA577109</t>
  </si>
  <si>
    <t>IT Systems Test Analyst  Contract 1532 2014-006205  FA577690</t>
  </si>
  <si>
    <t>IT Systems Test Analyst  Contract 1557  2014-006205</t>
  </si>
  <si>
    <t>Website Maintenance - Data and Search Facility  2014-005084</t>
  </si>
  <si>
    <t>Amber Technologies</t>
  </si>
  <si>
    <t/>
  </si>
  <si>
    <t>CA (Pacific) Pty Ltd</t>
  </si>
  <si>
    <t>Commercial Monitors</t>
  </si>
  <si>
    <t>Compas Pty Ltd</t>
  </si>
  <si>
    <t>Data#3 Limited</t>
  </si>
  <si>
    <t>DFP Recruitment Services</t>
  </si>
  <si>
    <t>Fuji Xerox Businessforce Pty Limited</t>
  </si>
  <si>
    <t>Fujitsu Australia Ltd</t>
  </si>
  <si>
    <t>Hewlett Packard</t>
  </si>
  <si>
    <t>Hitachi Data Systems Australia Pty Ltd</t>
  </si>
  <si>
    <t>Howard Rowland Consulting</t>
  </si>
  <si>
    <t>IBM Australia Limited</t>
  </si>
  <si>
    <t>Independent Systems Integrators Pty Ltd</t>
  </si>
  <si>
    <t>Johnston Bros Pty Limited</t>
  </si>
  <si>
    <t>KPMG</t>
  </si>
  <si>
    <t>Lexis Nexis</t>
  </si>
  <si>
    <t>List A Barristers</t>
  </si>
  <si>
    <t>Matthew Brady</t>
  </si>
  <si>
    <t>National Mailing &amp; Marketing P/L</t>
  </si>
  <si>
    <t>NetApp Australia Pty Ltd</t>
  </si>
  <si>
    <t>Nuix Australia Pty Ltd</t>
  </si>
  <si>
    <t>Open Text</t>
  </si>
  <si>
    <t>Oracle Corporation (Aust) Pty Ltd</t>
  </si>
  <si>
    <t>Peter Russell</t>
  </si>
  <si>
    <t>QCAT Pty Ltd</t>
  </si>
  <si>
    <t>Reading Room Australia Pty Ltd</t>
  </si>
  <si>
    <t>Recall Information Management P/L</t>
  </si>
  <si>
    <t>Remasys Pty Ltd</t>
  </si>
  <si>
    <t>Staples Australia</t>
  </si>
  <si>
    <t>Stewart Maiden</t>
  </si>
  <si>
    <t>The AOT Group Limited</t>
  </si>
  <si>
    <t>Wesley McMaster Securities</t>
  </si>
  <si>
    <t>Banking and Related services. ISP2007/5732  ECM 2011-009553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</si>
</sst>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quot;$&quot;* #,##0_-;\-&quot;$&quot;* #,##0_-;_-&quot;$&quot;* &quot;-&quot;??_-;_-@_-"/>
  </numFmts>
  <fonts count="29" x14ac:knownFonts="1">
    <font>
      <sz val="11"/>
      <color theme="1"/>
      <name val="Calibri"/>
      <family val="2"/>
      <scheme val="minor"/>
    </font>
    <font>
      <sz val="10"/>
      <color indexed="8"/>
      <name val="Arial"/>
      <family val="2"/>
    </font>
    <font>
      <sz val="10"/>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4"/>
      <color theme="1"/>
      <name val="Calibri"/>
      <family val="2"/>
      <scheme val="minor"/>
    </font>
    <font>
      <sz val="11"/>
      <color indexed="8"/>
      <name val="Calibri"/>
      <family val="2"/>
      <scheme val="minor"/>
    </font>
    <font>
      <sz val="11"/>
      <name val="Calibri"/>
      <family val="2"/>
      <scheme val="minor"/>
    </font>
    <font>
      <sz val="10"/>
      <color theme="1"/>
      <name val="Arial"/>
      <family val="2"/>
    </font>
    <font>
      <b/>
      <sz val="14"/>
      <color theme="1"/>
      <name val="Arial"/>
      <family val="2"/>
    </font>
    <font>
      <b/>
      <sz val="10"/>
      <color theme="8" tint="-0.499984740745262"/>
      <name val="Arial"/>
      <family val="2"/>
    </font>
    <font>
      <b/>
      <sz val="9"/>
      <color theme="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7" applyNumberFormat="0" applyAlignment="0" applyProtection="0"/>
    <xf numFmtId="0" fontId="8" fillId="28" borderId="8" applyNumberFormat="0" applyAlignment="0" applyProtection="0"/>
    <xf numFmtId="44" fontId="4" fillId="0" borderId="0" applyFon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30" borderId="7" applyNumberFormat="0" applyAlignment="0" applyProtection="0"/>
    <xf numFmtId="0" fontId="15" fillId="0" borderId="12" applyNumberFormat="0" applyFill="0" applyAlignment="0" applyProtection="0"/>
    <xf numFmtId="0" fontId="16" fillId="31" borderId="0" applyNumberFormat="0" applyBorder="0" applyAlignment="0" applyProtection="0"/>
    <xf numFmtId="0" fontId="4" fillId="32" borderId="13" applyNumberFormat="0" applyFont="0" applyAlignment="0" applyProtection="0"/>
    <xf numFmtId="0" fontId="17" fillId="27" borderId="14" applyNumberFormat="0" applyAlignment="0" applyProtection="0"/>
    <xf numFmtId="0" fontId="18" fillId="0" borderId="0" applyNumberFormat="0" applyFill="0" applyBorder="0" applyAlignment="0" applyProtection="0"/>
    <xf numFmtId="0" fontId="19" fillId="0" borderId="15" applyNumberFormat="0" applyFill="0" applyAlignment="0" applyProtection="0"/>
    <xf numFmtId="0" fontId="20" fillId="0" borderId="0" applyNumberFormat="0" applyFill="0" applyBorder="0" applyAlignment="0" applyProtection="0"/>
  </cellStyleXfs>
  <cellXfs count="65">
    <xf numFmtId="0" fontId="0" fillId="0" borderId="0" xfId="0"/>
    <xf numFmtId="4" fontId="0" fillId="0" borderId="0" xfId="0" applyNumberFormat="1"/>
    <xf numFmtId="15" fontId="0" fillId="0" borderId="0" xfId="0" applyNumberFormat="1"/>
    <xf numFmtId="0" fontId="21" fillId="33" borderId="1" xfId="0" applyFont="1" applyFill="1" applyBorder="1" applyAlignment="1" applyProtection="1">
      <alignment horizontal="center" vertical="center"/>
    </xf>
    <xf numFmtId="0" fontId="21" fillId="33" borderId="1" xfId="0" applyFont="1" applyFill="1" applyBorder="1" applyAlignment="1" applyProtection="1">
      <alignment horizontal="center" vertical="center" wrapText="1"/>
    </xf>
    <xf numFmtId="164" fontId="21" fillId="33" borderId="1" xfId="28" applyNumberFormat="1" applyFont="1" applyFill="1" applyBorder="1" applyAlignment="1" applyProtection="1">
      <alignment horizontal="center" vertical="center" wrapText="1"/>
    </xf>
    <xf numFmtId="14" fontId="21" fillId="33" borderId="1" xfId="0" applyNumberFormat="1" applyFont="1" applyFill="1" applyBorder="1" applyAlignment="1" applyProtection="1">
      <alignment horizontal="center" vertical="center"/>
    </xf>
    <xf numFmtId="14" fontId="21" fillId="33" borderId="1" xfId="0" applyNumberFormat="1" applyFont="1" applyFill="1" applyBorder="1" applyAlignment="1" applyProtection="1">
      <alignment horizontal="center" vertical="center" wrapText="1"/>
    </xf>
    <xf numFmtId="0" fontId="22" fillId="0" borderId="0" xfId="0" applyFont="1"/>
    <xf numFmtId="0" fontId="21" fillId="33" borderId="2" xfId="0" applyFont="1" applyFill="1" applyBorder="1" applyAlignment="1" applyProtection="1">
      <alignment horizontal="center" vertical="center"/>
    </xf>
    <xf numFmtId="0" fontId="21" fillId="33" borderId="2" xfId="0" applyFont="1" applyFill="1" applyBorder="1" applyAlignment="1" applyProtection="1">
      <alignment horizontal="center" vertical="center" wrapText="1"/>
    </xf>
    <xf numFmtId="164" fontId="21" fillId="33" borderId="2" xfId="28" applyNumberFormat="1" applyFont="1" applyFill="1" applyBorder="1" applyAlignment="1" applyProtection="1">
      <alignment horizontal="center" vertical="center" wrapText="1"/>
    </xf>
    <xf numFmtId="14" fontId="21" fillId="33" borderId="2" xfId="0" applyNumberFormat="1" applyFont="1" applyFill="1" applyBorder="1" applyAlignment="1" applyProtection="1">
      <alignment horizontal="center" vertical="center"/>
    </xf>
    <xf numFmtId="14" fontId="21" fillId="33" borderId="2" xfId="0" applyNumberFormat="1" applyFont="1" applyFill="1" applyBorder="1" applyAlignment="1" applyProtection="1">
      <alignment horizontal="center" vertical="center" wrapText="1"/>
    </xf>
    <xf numFmtId="0" fontId="23" fillId="0" borderId="2" xfId="0" applyFont="1" applyFill="1" applyBorder="1" applyAlignment="1">
      <alignment wrapText="1"/>
    </xf>
    <xf numFmtId="0" fontId="24" fillId="0" borderId="2" xfId="0" applyFont="1" applyBorder="1" applyAlignment="1">
      <alignment horizontal="center"/>
    </xf>
    <xf numFmtId="0" fontId="0" fillId="0" borderId="2" xfId="0" applyFont="1" applyBorder="1" applyAlignment="1">
      <alignment horizontal="center"/>
    </xf>
    <xf numFmtId="0" fontId="2" fillId="0" borderId="2" xfId="0" applyFont="1" applyBorder="1" applyAlignment="1">
      <alignment horizontal="center"/>
    </xf>
    <xf numFmtId="0" fontId="25" fillId="0" borderId="0" xfId="0" applyFont="1"/>
    <xf numFmtId="0" fontId="0" fillId="0" borderId="0" xfId="0" applyAlignment="1">
      <alignment vertical="top"/>
    </xf>
    <xf numFmtId="0" fontId="25"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4" fillId="0" borderId="0" xfId="0" applyFont="1"/>
    <xf numFmtId="0" fontId="2" fillId="0" borderId="0" xfId="0" applyFont="1" applyAlignment="1">
      <alignment wrapText="1"/>
    </xf>
    <xf numFmtId="14" fontId="25" fillId="0" borderId="0" xfId="0" applyNumberFormat="1" applyFont="1" applyAlignment="1">
      <alignment horizontal="center"/>
    </xf>
    <xf numFmtId="14" fontId="2" fillId="0" borderId="0" xfId="0" applyNumberFormat="1" applyFont="1" applyAlignment="1">
      <alignment horizontal="center"/>
    </xf>
    <xf numFmtId="0" fontId="0" fillId="0" borderId="2" xfId="0" applyFont="1" applyBorder="1" applyAlignment="1">
      <alignment wrapText="1"/>
    </xf>
    <xf numFmtId="0" fontId="27"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0" fillId="0" borderId="2" xfId="0" applyFont="1" applyFill="1" applyBorder="1" applyAlignment="1">
      <alignment wrapText="1"/>
    </xf>
    <xf numFmtId="0" fontId="24" fillId="0" borderId="2" xfId="0" applyFont="1" applyFill="1" applyBorder="1" applyAlignment="1">
      <alignment horizontal="center"/>
    </xf>
    <xf numFmtId="0" fontId="0" fillId="0" borderId="2" xfId="0" applyFont="1" applyFill="1" applyBorder="1" applyAlignment="1">
      <alignment horizontal="center"/>
    </xf>
    <xf numFmtId="0" fontId="2" fillId="0" borderId="2" xfId="0" applyFont="1" applyFill="1" applyBorder="1" applyAlignment="1">
      <alignment horizontal="center"/>
    </xf>
    <xf numFmtId="0" fontId="25" fillId="0" borderId="0" xfId="0" applyFont="1" applyFill="1" applyAlignment="1">
      <alignment vertical="top" wrapText="1"/>
    </xf>
    <xf numFmtId="0" fontId="0" fillId="0" borderId="0" xfId="0" applyFill="1"/>
    <xf numFmtId="0" fontId="25" fillId="0" borderId="0" xfId="0" applyFont="1" applyFill="1"/>
    <xf numFmtId="15" fontId="23" fillId="0" borderId="2" xfId="0" applyNumberFormat="1" applyFont="1" applyFill="1" applyBorder="1" applyAlignment="1">
      <alignment wrapText="1"/>
    </xf>
    <xf numFmtId="0" fontId="3" fillId="0" borderId="2" xfId="0" applyFont="1" applyBorder="1" applyAlignment="1">
      <alignment horizontal="center" vertical="center"/>
    </xf>
    <xf numFmtId="0" fontId="2" fillId="34" borderId="2" xfId="0" applyFont="1" applyFill="1" applyBorder="1" applyAlignment="1" applyProtection="1">
      <alignment horizontal="center" vertical="center"/>
      <protection locked="0"/>
    </xf>
    <xf numFmtId="0" fontId="0" fillId="0" borderId="0" xfId="0" applyAlignment="1">
      <alignment horizontal="center"/>
    </xf>
    <xf numFmtId="0" fontId="2" fillId="0" borderId="2" xfId="0" applyNumberFormat="1"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15" fontId="0" fillId="0" borderId="0" xfId="0" applyNumberFormat="1" applyAlignment="1">
      <alignment vertical="center"/>
    </xf>
    <xf numFmtId="0" fontId="2" fillId="34" borderId="2"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4" fontId="0" fillId="0" borderId="0" xfId="0" applyNumberFormat="1" applyAlignment="1">
      <alignment horizontal="center"/>
    </xf>
    <xf numFmtId="0" fontId="28" fillId="33" borderId="2" xfId="0" applyFont="1" applyFill="1" applyBorder="1" applyAlignment="1" applyProtection="1">
      <alignment horizontal="center" vertical="center" wrapText="1"/>
    </xf>
    <xf numFmtId="0" fontId="28" fillId="33" borderId="1" xfId="0" applyFont="1" applyFill="1" applyBorder="1" applyAlignment="1" applyProtection="1">
      <alignment horizontal="center" vertical="center" wrapText="1"/>
    </xf>
    <xf numFmtId="43" fontId="23" fillId="0" borderId="2" xfId="28" applyNumberFormat="1" applyFont="1" applyFill="1" applyBorder="1" applyAlignment="1">
      <alignment wrapText="1"/>
    </xf>
    <xf numFmtId="15" fontId="0" fillId="35" borderId="0" xfId="0" applyNumberFormat="1" applyFill="1"/>
    <xf numFmtId="15" fontId="23" fillId="35" borderId="2" xfId="0" applyNumberFormat="1" applyFont="1" applyFill="1" applyBorder="1" applyAlignment="1">
      <alignment wrapText="1"/>
    </xf>
    <xf numFmtId="0" fontId="20" fillId="0" borderId="0" xfId="0" applyFont="1" applyAlignment="1">
      <alignment horizontal="center"/>
    </xf>
    <xf numFmtId="0" fontId="26" fillId="0" borderId="0" xfId="0" applyFont="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25" fillId="0" borderId="3" xfId="0" applyFont="1" applyBorder="1" applyAlignment="1">
      <alignment horizontal="left" vertical="center" wrapText="1"/>
    </xf>
    <xf numFmtId="0" fontId="24" fillId="0" borderId="0" xfId="0"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5"/>
  <sheetViews>
    <sheetView tabSelected="1" topLeftCell="A217" workbookViewId="0">
      <selection activeCell="E243" sqref="E243"/>
    </sheetView>
  </sheetViews>
  <sheetFormatPr defaultRowHeight="15" x14ac:dyDescent="0.25"/>
  <cols>
    <col min="1" max="1" width="40.7109375" customWidth="1"/>
    <col min="2" max="2" width="76.7109375" customWidth="1"/>
    <col min="3" max="5" width="15.7109375" customWidth="1"/>
    <col min="6" max="8" width="10.7109375" style="40" customWidth="1"/>
    <col min="9" max="9" width="17.28515625" style="40" bestFit="1" customWidth="1"/>
    <col min="10" max="10" width="24.28515625" customWidth="1"/>
    <col min="11" max="11" width="29.85546875" customWidth="1"/>
    <col min="12" max="12" width="28.42578125" customWidth="1"/>
    <col min="13" max="13" width="31.85546875" customWidth="1"/>
    <col min="14" max="15" width="28.28515625" customWidth="1"/>
  </cols>
  <sheetData>
    <row r="1" spans="1:9" ht="26.25" customHeight="1" x14ac:dyDescent="0.25">
      <c r="A1" s="58" t="s">
        <v>170</v>
      </c>
      <c r="B1" s="58"/>
      <c r="C1" s="58"/>
      <c r="D1" s="58"/>
      <c r="E1" s="58"/>
      <c r="F1" s="58"/>
      <c r="G1" s="58"/>
      <c r="H1" s="58"/>
      <c r="I1" s="58"/>
    </row>
    <row r="2" spans="1:9" ht="18" x14ac:dyDescent="0.25">
      <c r="A2" s="58" t="s">
        <v>175</v>
      </c>
      <c r="B2" s="58"/>
      <c r="C2" s="58"/>
      <c r="D2" s="58"/>
      <c r="E2" s="58"/>
      <c r="F2" s="58"/>
      <c r="G2" s="58"/>
      <c r="H2" s="58"/>
      <c r="I2" s="58"/>
    </row>
    <row r="3" spans="1:9" ht="44.25" customHeight="1" x14ac:dyDescent="0.25">
      <c r="A3" s="59" t="s">
        <v>176</v>
      </c>
      <c r="B3" s="59"/>
      <c r="C3" s="59"/>
      <c r="D3" s="59"/>
      <c r="E3" s="59"/>
      <c r="F3" s="59"/>
      <c r="G3" s="59"/>
      <c r="H3" s="59"/>
      <c r="I3" s="59"/>
    </row>
    <row r="5" spans="1:9" ht="65.099999999999994" customHeight="1" x14ac:dyDescent="0.25">
      <c r="A5" s="3" t="s">
        <v>121</v>
      </c>
      <c r="B5" s="4" t="s">
        <v>122</v>
      </c>
      <c r="C5" s="5" t="s">
        <v>123</v>
      </c>
      <c r="D5" s="6" t="s">
        <v>119</v>
      </c>
      <c r="E5" s="7" t="s">
        <v>120</v>
      </c>
      <c r="F5" s="53" t="s">
        <v>124</v>
      </c>
      <c r="G5" s="3" t="s">
        <v>125</v>
      </c>
      <c r="H5" s="53" t="s">
        <v>126</v>
      </c>
      <c r="I5" s="3" t="s">
        <v>125</v>
      </c>
    </row>
    <row r="6" spans="1:9" x14ac:dyDescent="0.25">
      <c r="A6" t="str">
        <f>"A J Dever Pty Ltd"</f>
        <v>A J Dever Pty Ltd</v>
      </c>
      <c r="B6" t="s">
        <v>37</v>
      </c>
      <c r="C6" s="1">
        <v>120000</v>
      </c>
      <c r="D6" s="2">
        <v>41711</v>
      </c>
      <c r="E6" s="2">
        <v>42185</v>
      </c>
      <c r="F6" s="64" t="s">
        <v>172</v>
      </c>
      <c r="G6" s="40">
        <v>5</v>
      </c>
      <c r="H6" s="40" t="s">
        <v>157</v>
      </c>
      <c r="I6" s="40">
        <v>5</v>
      </c>
    </row>
    <row r="7" spans="1:9" x14ac:dyDescent="0.25">
      <c r="A7" t="str">
        <f>"Acer"</f>
        <v>Acer</v>
      </c>
      <c r="B7" t="s">
        <v>81</v>
      </c>
      <c r="C7" s="1">
        <v>481800</v>
      </c>
      <c r="D7" s="2">
        <v>41807</v>
      </c>
      <c r="E7" s="2">
        <v>42947</v>
      </c>
      <c r="F7" s="64" t="s">
        <v>172</v>
      </c>
      <c r="G7" s="40" t="str">
        <f>""</f>
        <v/>
      </c>
      <c r="H7" s="40" t="s">
        <v>172</v>
      </c>
      <c r="I7" s="40" t="str">
        <f>""</f>
        <v/>
      </c>
    </row>
    <row r="8" spans="1:9" x14ac:dyDescent="0.25">
      <c r="A8" t="str">
        <f>"Activa Pty Ltd"</f>
        <v>Activa Pty Ltd</v>
      </c>
      <c r="B8" t="s">
        <v>231</v>
      </c>
      <c r="C8" s="1">
        <v>172152</v>
      </c>
      <c r="D8" s="2">
        <v>41925</v>
      </c>
      <c r="E8" s="2">
        <v>43020</v>
      </c>
      <c r="F8" s="64" t="s">
        <v>172</v>
      </c>
      <c r="G8" s="40" t="str">
        <f>""</f>
        <v/>
      </c>
      <c r="H8" s="40" t="s">
        <v>172</v>
      </c>
      <c r="I8" s="40" t="str">
        <f>""</f>
        <v/>
      </c>
    </row>
    <row r="9" spans="1:9" x14ac:dyDescent="0.25">
      <c r="A9" t="str">
        <f>"AGL Sales Pty Ltd"</f>
        <v>AGL Sales Pty Ltd</v>
      </c>
      <c r="B9" t="s">
        <v>198</v>
      </c>
      <c r="C9" s="1">
        <v>617968.81000000006</v>
      </c>
      <c r="D9" s="2">
        <v>41789</v>
      </c>
      <c r="E9" s="2">
        <v>42886</v>
      </c>
      <c r="F9" s="64" t="s">
        <v>172</v>
      </c>
      <c r="G9" s="40" t="str">
        <f>""</f>
        <v/>
      </c>
      <c r="H9" s="40" t="s">
        <v>172</v>
      </c>
      <c r="I9" s="40" t="str">
        <f>""</f>
        <v/>
      </c>
    </row>
    <row r="10" spans="1:9" x14ac:dyDescent="0.25">
      <c r="A10" t="str">
        <f>"AGL Sales Pty Ltd"</f>
        <v>AGL Sales Pty Ltd</v>
      </c>
      <c r="B10" t="s">
        <v>199</v>
      </c>
      <c r="C10" s="1">
        <v>401640.27</v>
      </c>
      <c r="D10" s="2">
        <v>41788</v>
      </c>
      <c r="E10" s="2">
        <v>42884</v>
      </c>
      <c r="F10" s="64" t="s">
        <v>172</v>
      </c>
      <c r="G10" s="40" t="str">
        <f>""</f>
        <v/>
      </c>
      <c r="H10" s="40" t="s">
        <v>172</v>
      </c>
      <c r="I10" s="40" t="str">
        <f>""</f>
        <v/>
      </c>
    </row>
    <row r="11" spans="1:9" x14ac:dyDescent="0.25">
      <c r="A11" t="s">
        <v>266</v>
      </c>
      <c r="B11" t="s">
        <v>90</v>
      </c>
      <c r="C11" s="1">
        <v>282347</v>
      </c>
      <c r="D11" s="2">
        <v>40352</v>
      </c>
      <c r="E11" s="2">
        <v>42177</v>
      </c>
      <c r="F11" s="64" t="s">
        <v>172</v>
      </c>
      <c r="G11" s="40" t="s">
        <v>267</v>
      </c>
      <c r="H11" s="40" t="s">
        <v>172</v>
      </c>
    </row>
    <row r="12" spans="1:9" x14ac:dyDescent="0.25">
      <c r="A12" t="str">
        <f>"Ashurst Australia"</f>
        <v>Ashurst Australia</v>
      </c>
      <c r="B12" t="s">
        <v>128</v>
      </c>
      <c r="C12" s="1">
        <v>115974</v>
      </c>
      <c r="D12" s="2">
        <v>41660</v>
      </c>
      <c r="E12" s="2">
        <v>41810</v>
      </c>
      <c r="F12" s="64" t="s">
        <v>172</v>
      </c>
      <c r="G12" s="40" t="str">
        <f>""</f>
        <v/>
      </c>
      <c r="H12" s="40" t="s">
        <v>172</v>
      </c>
      <c r="I12" s="40" t="str">
        <f>""</f>
        <v/>
      </c>
    </row>
    <row r="13" spans="1:9" x14ac:dyDescent="0.25">
      <c r="A13" t="str">
        <f>"Assessment Services Pty Ltd"</f>
        <v>Assessment Services Pty Ltd</v>
      </c>
      <c r="B13" t="s">
        <v>106</v>
      </c>
      <c r="C13" s="1">
        <v>477690</v>
      </c>
      <c r="D13" s="2">
        <v>41283</v>
      </c>
      <c r="E13" s="2">
        <v>42377</v>
      </c>
      <c r="F13" s="64" t="s">
        <v>172</v>
      </c>
      <c r="G13" s="40" t="str">
        <f>""</f>
        <v/>
      </c>
      <c r="H13" s="40" t="s">
        <v>172</v>
      </c>
    </row>
    <row r="14" spans="1:9" x14ac:dyDescent="0.25">
      <c r="A14" t="str">
        <f>"Australian Government Solicitor"</f>
        <v>Australian Government Solicitor</v>
      </c>
      <c r="B14" t="s">
        <v>193</v>
      </c>
      <c r="C14" s="1">
        <v>364650</v>
      </c>
      <c r="D14" s="2">
        <v>41833</v>
      </c>
      <c r="E14" s="2">
        <v>42113</v>
      </c>
      <c r="F14" s="64" t="s">
        <v>172</v>
      </c>
      <c r="G14" s="40" t="str">
        <f>""</f>
        <v/>
      </c>
      <c r="H14" s="40" t="s">
        <v>172</v>
      </c>
      <c r="I14" s="40" t="str">
        <f>""</f>
        <v/>
      </c>
    </row>
    <row r="15" spans="1:9" x14ac:dyDescent="0.25">
      <c r="A15" t="str">
        <f>"Bendelta Pty Ltd"</f>
        <v>Bendelta Pty Ltd</v>
      </c>
      <c r="B15" t="s">
        <v>137</v>
      </c>
      <c r="C15" s="1">
        <v>139194</v>
      </c>
      <c r="D15" s="2">
        <v>41810</v>
      </c>
      <c r="E15" s="2">
        <v>42003</v>
      </c>
      <c r="F15" s="64" t="s">
        <v>172</v>
      </c>
      <c r="G15" s="40" t="str">
        <f>""</f>
        <v/>
      </c>
      <c r="H15" s="40" t="s">
        <v>172</v>
      </c>
      <c r="I15" s="40" t="str">
        <f>""</f>
        <v/>
      </c>
    </row>
    <row r="16" spans="1:9" x14ac:dyDescent="0.25">
      <c r="A16" t="str">
        <f>"BMC Software Asia Pacific Pte Ltd"</f>
        <v>BMC Software Asia Pacific Pte Ltd</v>
      </c>
      <c r="B16" t="s">
        <v>116</v>
      </c>
      <c r="C16" s="1">
        <v>458633.36</v>
      </c>
      <c r="D16" s="2">
        <v>41455</v>
      </c>
      <c r="E16" s="2">
        <v>42550</v>
      </c>
      <c r="F16" s="64" t="s">
        <v>172</v>
      </c>
      <c r="G16" s="40" t="str">
        <f>""</f>
        <v/>
      </c>
      <c r="H16" s="40" t="s">
        <v>172</v>
      </c>
    </row>
    <row r="17" spans="1:9" x14ac:dyDescent="0.25">
      <c r="A17" t="str">
        <f>"Brillard Pty Limited"</f>
        <v>Brillard Pty Limited</v>
      </c>
      <c r="B17" t="s">
        <v>56</v>
      </c>
      <c r="C17" s="1">
        <v>158400</v>
      </c>
      <c r="D17" s="2">
        <v>41759</v>
      </c>
      <c r="E17" s="2">
        <v>42124</v>
      </c>
      <c r="F17" s="64" t="s">
        <v>172</v>
      </c>
      <c r="G17" s="40" t="str">
        <f>""</f>
        <v/>
      </c>
      <c r="H17" s="40" t="s">
        <v>172</v>
      </c>
      <c r="I17" s="40" t="str">
        <f>""</f>
        <v/>
      </c>
    </row>
    <row r="18" spans="1:9" x14ac:dyDescent="0.25">
      <c r="A18" t="str">
        <f>"Business Aspect Pty Ltd"</f>
        <v>Business Aspect Pty Ltd</v>
      </c>
      <c r="B18" t="s">
        <v>205</v>
      </c>
      <c r="C18" s="1">
        <v>110000</v>
      </c>
      <c r="D18" s="2">
        <v>41848</v>
      </c>
      <c r="E18" s="2">
        <v>41912</v>
      </c>
      <c r="F18" s="64" t="s">
        <v>172</v>
      </c>
      <c r="G18" s="40" t="str">
        <f>""</f>
        <v/>
      </c>
      <c r="H18" s="40" t="s">
        <v>172</v>
      </c>
      <c r="I18" s="40" t="str">
        <f>""</f>
        <v/>
      </c>
    </row>
    <row r="19" spans="1:9" x14ac:dyDescent="0.25">
      <c r="A19" t="str">
        <f>"Business Aspect Pty Ltd"</f>
        <v>Business Aspect Pty Ltd</v>
      </c>
      <c r="B19" t="s">
        <v>57</v>
      </c>
      <c r="C19" s="1">
        <v>110000</v>
      </c>
      <c r="D19" s="2">
        <v>41743</v>
      </c>
      <c r="E19" s="2">
        <v>41816</v>
      </c>
      <c r="F19" s="64" t="s">
        <v>172</v>
      </c>
      <c r="G19" s="40" t="str">
        <f>""</f>
        <v/>
      </c>
      <c r="H19" s="40" t="s">
        <v>172</v>
      </c>
      <c r="I19" s="40" t="str">
        <f>""</f>
        <v/>
      </c>
    </row>
    <row r="20" spans="1:9" x14ac:dyDescent="0.25">
      <c r="A20" t="str">
        <f>"Business Aspect Pty Ltd"</f>
        <v>Business Aspect Pty Ltd</v>
      </c>
      <c r="B20" t="s">
        <v>54</v>
      </c>
      <c r="C20" s="1">
        <v>148500</v>
      </c>
      <c r="D20" s="2">
        <v>41757</v>
      </c>
      <c r="E20" s="2">
        <v>41792</v>
      </c>
      <c r="F20" s="64" t="s">
        <v>172</v>
      </c>
      <c r="G20" s="40" t="str">
        <f>""</f>
        <v/>
      </c>
      <c r="H20" s="40" t="s">
        <v>172</v>
      </c>
      <c r="I20" s="40" t="str">
        <f>""</f>
        <v/>
      </c>
    </row>
    <row r="21" spans="1:9" x14ac:dyDescent="0.25">
      <c r="A21" t="str">
        <f>"Business Aspect Pty Ltd"</f>
        <v>Business Aspect Pty Ltd</v>
      </c>
      <c r="B21" t="s">
        <v>242</v>
      </c>
      <c r="C21" s="1">
        <v>159720</v>
      </c>
      <c r="D21" s="2">
        <v>41950</v>
      </c>
      <c r="E21" s="2">
        <v>42054</v>
      </c>
      <c r="F21" s="64" t="s">
        <v>172</v>
      </c>
      <c r="G21" s="40" t="str">
        <f>""</f>
        <v/>
      </c>
      <c r="H21" s="40" t="s">
        <v>172</v>
      </c>
      <c r="I21" s="40" t="str">
        <f>""</f>
        <v/>
      </c>
    </row>
    <row r="22" spans="1:9" x14ac:dyDescent="0.25">
      <c r="A22" t="s">
        <v>268</v>
      </c>
      <c r="B22" t="s">
        <v>0</v>
      </c>
      <c r="C22" s="1">
        <v>1790052</v>
      </c>
      <c r="D22" s="2">
        <v>41484</v>
      </c>
      <c r="E22" s="2">
        <v>42213</v>
      </c>
      <c r="F22" s="64" t="s">
        <v>172</v>
      </c>
      <c r="G22" s="40" t="s">
        <v>267</v>
      </c>
      <c r="H22" s="40" t="s">
        <v>172</v>
      </c>
    </row>
    <row r="23" spans="1:9" x14ac:dyDescent="0.25">
      <c r="A23" t="str">
        <f>"Candle ICT"</f>
        <v>Candle ICT</v>
      </c>
      <c r="B23" t="s">
        <v>20</v>
      </c>
      <c r="C23" s="1">
        <v>129987</v>
      </c>
      <c r="D23" s="2">
        <v>41652</v>
      </c>
      <c r="E23" s="2">
        <v>41832</v>
      </c>
      <c r="F23" s="64" t="s">
        <v>172</v>
      </c>
      <c r="G23" s="40" t="str">
        <f>""</f>
        <v/>
      </c>
      <c r="H23" s="40" t="s">
        <v>172</v>
      </c>
      <c r="I23" s="40" t="str">
        <f>""</f>
        <v/>
      </c>
    </row>
    <row r="24" spans="1:9" x14ac:dyDescent="0.25">
      <c r="A24" t="str">
        <f>"Candle ICT"</f>
        <v>Candle ICT</v>
      </c>
      <c r="B24" t="s">
        <v>19</v>
      </c>
      <c r="C24" s="1">
        <v>149990.28</v>
      </c>
      <c r="D24" s="2">
        <v>41652</v>
      </c>
      <c r="E24" s="2">
        <v>41832</v>
      </c>
      <c r="F24" s="64" t="s">
        <v>172</v>
      </c>
      <c r="G24" s="40" t="str">
        <f>""</f>
        <v/>
      </c>
      <c r="H24" s="40" t="s">
        <v>172</v>
      </c>
      <c r="I24" s="40" t="str">
        <f>""</f>
        <v/>
      </c>
    </row>
    <row r="25" spans="1:9" x14ac:dyDescent="0.25">
      <c r="A25" t="str">
        <f>"Candle ICT"</f>
        <v>Candle ICT</v>
      </c>
      <c r="B25" t="s">
        <v>145</v>
      </c>
      <c r="C25" s="1">
        <v>312106.08</v>
      </c>
      <c r="D25" s="2">
        <v>41816</v>
      </c>
      <c r="E25" s="2">
        <v>42185</v>
      </c>
      <c r="F25" s="64" t="s">
        <v>172</v>
      </c>
      <c r="G25" s="40" t="str">
        <f>""</f>
        <v/>
      </c>
      <c r="H25" s="40" t="s">
        <v>172</v>
      </c>
      <c r="I25" s="40" t="str">
        <f>""</f>
        <v/>
      </c>
    </row>
    <row r="26" spans="1:9" x14ac:dyDescent="0.25">
      <c r="A26" t="str">
        <f>"Candle ICT"</f>
        <v>Candle ICT</v>
      </c>
      <c r="B26" t="s">
        <v>209</v>
      </c>
      <c r="C26" s="1">
        <v>149990.28</v>
      </c>
      <c r="D26" s="2">
        <v>41838</v>
      </c>
      <c r="E26" s="2">
        <v>42024</v>
      </c>
      <c r="F26" s="64" t="s">
        <v>172</v>
      </c>
      <c r="G26" s="40" t="str">
        <f>""</f>
        <v/>
      </c>
      <c r="H26" s="40" t="s">
        <v>172</v>
      </c>
      <c r="I26" s="40" t="str">
        <f>""</f>
        <v/>
      </c>
    </row>
    <row r="27" spans="1:9" x14ac:dyDescent="0.25">
      <c r="A27" t="str">
        <f>"Canon Australia Pty Ltd"</f>
        <v>Canon Australia Pty Ltd</v>
      </c>
      <c r="B27" t="s">
        <v>98</v>
      </c>
      <c r="C27" s="1">
        <v>4199636</v>
      </c>
      <c r="D27" s="2">
        <v>41052</v>
      </c>
      <c r="E27" s="2">
        <v>42512</v>
      </c>
      <c r="F27" s="64" t="s">
        <v>172</v>
      </c>
      <c r="G27" s="40" t="str">
        <f>""</f>
        <v/>
      </c>
      <c r="H27" s="40" t="s">
        <v>172</v>
      </c>
    </row>
    <row r="28" spans="1:9" x14ac:dyDescent="0.25">
      <c r="A28" t="str">
        <f>"CCH Australia Pty Ltd"</f>
        <v>CCH Australia Pty Ltd</v>
      </c>
      <c r="B28" t="s">
        <v>237</v>
      </c>
      <c r="C28" s="1">
        <v>718431.11</v>
      </c>
      <c r="D28" s="2">
        <v>41940</v>
      </c>
      <c r="E28" s="2">
        <v>43039</v>
      </c>
      <c r="F28" s="64" t="s">
        <v>172</v>
      </c>
      <c r="G28" s="40" t="str">
        <f>""</f>
        <v/>
      </c>
      <c r="H28" s="40" t="s">
        <v>172</v>
      </c>
      <c r="I28" s="40" t="str">
        <f>""</f>
        <v/>
      </c>
    </row>
    <row r="29" spans="1:9" x14ac:dyDescent="0.25">
      <c r="A29" t="str">
        <f t="shared" ref="A29:A37" si="0">"Clicks Recruit Pty Ltd"</f>
        <v>Clicks Recruit Pty Ltd</v>
      </c>
      <c r="B29" t="s">
        <v>61</v>
      </c>
      <c r="C29" s="1">
        <v>290933.19</v>
      </c>
      <c r="D29" s="2">
        <v>41771</v>
      </c>
      <c r="E29" s="2">
        <v>42202</v>
      </c>
      <c r="F29" s="64" t="s">
        <v>172</v>
      </c>
      <c r="G29" s="40" t="str">
        <f>""</f>
        <v/>
      </c>
      <c r="H29" s="40" t="s">
        <v>172</v>
      </c>
      <c r="I29" s="40" t="str">
        <f>""</f>
        <v/>
      </c>
    </row>
    <row r="30" spans="1:9" x14ac:dyDescent="0.25">
      <c r="A30" t="str">
        <f t="shared" si="0"/>
        <v>Clicks Recruit Pty Ltd</v>
      </c>
      <c r="B30" t="s">
        <v>248</v>
      </c>
      <c r="C30" s="1">
        <v>114471.72</v>
      </c>
      <c r="D30" s="2">
        <v>41971</v>
      </c>
      <c r="E30" s="2">
        <v>42185</v>
      </c>
      <c r="F30" s="64" t="s">
        <v>172</v>
      </c>
      <c r="G30" s="40" t="str">
        <f>""</f>
        <v/>
      </c>
      <c r="H30" s="40" t="s">
        <v>172</v>
      </c>
      <c r="I30" s="40" t="str">
        <f>""</f>
        <v/>
      </c>
    </row>
    <row r="31" spans="1:9" x14ac:dyDescent="0.25">
      <c r="A31" t="str">
        <f t="shared" si="0"/>
        <v>Clicks Recruit Pty Ltd</v>
      </c>
      <c r="B31" t="s">
        <v>258</v>
      </c>
      <c r="C31" s="1">
        <v>151751.82</v>
      </c>
      <c r="D31" s="2">
        <v>41991</v>
      </c>
      <c r="E31" s="2">
        <v>42181</v>
      </c>
      <c r="F31" s="64" t="s">
        <v>172</v>
      </c>
      <c r="G31" s="40" t="str">
        <f>""</f>
        <v/>
      </c>
      <c r="H31" s="40" t="s">
        <v>172</v>
      </c>
      <c r="I31" s="40" t="str">
        <f>""</f>
        <v/>
      </c>
    </row>
    <row r="32" spans="1:9" x14ac:dyDescent="0.25">
      <c r="A32" t="str">
        <f t="shared" si="0"/>
        <v>Clicks Recruit Pty Ltd</v>
      </c>
      <c r="B32" t="s">
        <v>222</v>
      </c>
      <c r="C32" s="1">
        <v>142222.07999999999</v>
      </c>
      <c r="D32" s="2">
        <v>41894</v>
      </c>
      <c r="E32" s="2">
        <v>42091</v>
      </c>
      <c r="F32" s="64" t="s">
        <v>172</v>
      </c>
      <c r="G32" s="40" t="str">
        <f>""</f>
        <v/>
      </c>
      <c r="H32" s="40" t="s">
        <v>172</v>
      </c>
      <c r="I32" s="40" t="str">
        <f>""</f>
        <v/>
      </c>
    </row>
    <row r="33" spans="1:9" x14ac:dyDescent="0.25">
      <c r="A33" t="str">
        <f t="shared" si="0"/>
        <v>Clicks Recruit Pty Ltd</v>
      </c>
      <c r="B33" t="s">
        <v>16</v>
      </c>
      <c r="C33" s="1">
        <v>371989</v>
      </c>
      <c r="D33" s="2">
        <v>41645</v>
      </c>
      <c r="E33" s="2">
        <v>42017</v>
      </c>
      <c r="F33" s="64" t="s">
        <v>172</v>
      </c>
      <c r="G33" s="40" t="str">
        <f>""</f>
        <v/>
      </c>
      <c r="H33" s="40" t="s">
        <v>172</v>
      </c>
      <c r="I33" s="40" t="str">
        <f>""</f>
        <v/>
      </c>
    </row>
    <row r="34" spans="1:9" x14ac:dyDescent="0.25">
      <c r="A34" t="str">
        <f t="shared" si="0"/>
        <v>Clicks Recruit Pty Ltd</v>
      </c>
      <c r="B34" t="s">
        <v>262</v>
      </c>
      <c r="C34" s="1">
        <v>185994.6</v>
      </c>
      <c r="D34" s="2">
        <v>41990</v>
      </c>
      <c r="E34" s="2">
        <v>42195</v>
      </c>
      <c r="F34" s="64" t="s">
        <v>172</v>
      </c>
      <c r="G34" s="40" t="str">
        <f>""</f>
        <v/>
      </c>
      <c r="H34" s="40" t="s">
        <v>172</v>
      </c>
      <c r="I34" s="40" t="str">
        <f>""</f>
        <v/>
      </c>
    </row>
    <row r="35" spans="1:9" x14ac:dyDescent="0.25">
      <c r="A35" t="str">
        <f t="shared" si="0"/>
        <v>Clicks Recruit Pty Ltd</v>
      </c>
      <c r="B35" t="s">
        <v>181</v>
      </c>
      <c r="C35" s="1">
        <v>374682.33</v>
      </c>
      <c r="D35" s="2">
        <v>41715</v>
      </c>
      <c r="E35" s="2">
        <v>42185</v>
      </c>
      <c r="F35" s="64" t="s">
        <v>172</v>
      </c>
      <c r="G35" s="40" t="str">
        <f>""</f>
        <v/>
      </c>
      <c r="H35" s="40" t="s">
        <v>172</v>
      </c>
      <c r="I35" s="40" t="str">
        <f>""</f>
        <v/>
      </c>
    </row>
    <row r="36" spans="1:9" x14ac:dyDescent="0.25">
      <c r="A36" t="str">
        <f t="shared" si="0"/>
        <v>Clicks Recruit Pty Ltd</v>
      </c>
      <c r="B36" t="s">
        <v>213</v>
      </c>
      <c r="C36" s="1">
        <v>224772.24</v>
      </c>
      <c r="D36" s="2">
        <v>41863</v>
      </c>
      <c r="E36" s="2">
        <v>42229</v>
      </c>
      <c r="F36" s="64" t="s">
        <v>172</v>
      </c>
      <c r="G36" s="40" t="str">
        <f>""</f>
        <v/>
      </c>
      <c r="H36" s="40" t="s">
        <v>172</v>
      </c>
      <c r="I36" s="40" t="str">
        <f>""</f>
        <v/>
      </c>
    </row>
    <row r="37" spans="1:9" x14ac:dyDescent="0.25">
      <c r="A37" t="str">
        <f t="shared" si="0"/>
        <v>Clicks Recruit Pty Ltd</v>
      </c>
      <c r="B37" t="s">
        <v>202</v>
      </c>
      <c r="C37" s="1">
        <v>195121.08</v>
      </c>
      <c r="D37" s="2">
        <v>41845</v>
      </c>
      <c r="E37" s="2">
        <v>42097</v>
      </c>
      <c r="F37" s="64" t="s">
        <v>172</v>
      </c>
      <c r="G37" s="40" t="str">
        <f>""</f>
        <v/>
      </c>
      <c r="H37" s="40" t="s">
        <v>172</v>
      </c>
      <c r="I37" s="40" t="str">
        <f>""</f>
        <v/>
      </c>
    </row>
    <row r="38" spans="1:9" x14ac:dyDescent="0.25">
      <c r="A38" t="str">
        <f>"Cogility Consulting Pty Ltd"</f>
        <v>Cogility Consulting Pty Ltd</v>
      </c>
      <c r="B38" t="s">
        <v>232</v>
      </c>
      <c r="C38" s="1">
        <v>220000</v>
      </c>
      <c r="D38" s="2">
        <v>41935</v>
      </c>
      <c r="E38" s="2">
        <v>42082</v>
      </c>
      <c r="F38" s="64" t="s">
        <v>172</v>
      </c>
      <c r="G38" s="40" t="str">
        <f>""</f>
        <v/>
      </c>
      <c r="H38" s="40" t="s">
        <v>172</v>
      </c>
      <c r="I38" s="40" t="str">
        <f>""</f>
        <v/>
      </c>
    </row>
    <row r="39" spans="1:9" x14ac:dyDescent="0.25">
      <c r="A39" t="str">
        <f>"Cogility Consulting Pty Ltd"</f>
        <v>Cogility Consulting Pty Ltd</v>
      </c>
      <c r="B39" t="s">
        <v>256</v>
      </c>
      <c r="C39" s="1">
        <v>174240</v>
      </c>
      <c r="D39" s="2">
        <v>41995</v>
      </c>
      <c r="E39" s="2">
        <v>42134</v>
      </c>
      <c r="F39" s="64" t="s">
        <v>172</v>
      </c>
      <c r="G39" s="40" t="str">
        <f>""</f>
        <v/>
      </c>
      <c r="H39" s="40" t="s">
        <v>172</v>
      </c>
      <c r="I39" s="40" t="str">
        <f>""</f>
        <v/>
      </c>
    </row>
    <row r="40" spans="1:9" x14ac:dyDescent="0.25">
      <c r="A40" t="str">
        <f>"Cogility Consulting Pty Ltd"</f>
        <v>Cogility Consulting Pty Ltd</v>
      </c>
      <c r="B40" t="s">
        <v>223</v>
      </c>
      <c r="C40" s="1">
        <v>220000</v>
      </c>
      <c r="D40" s="2">
        <v>41907</v>
      </c>
      <c r="E40" s="2">
        <v>42063</v>
      </c>
      <c r="F40" s="64" t="s">
        <v>172</v>
      </c>
      <c r="G40" s="40" t="str">
        <f>""</f>
        <v/>
      </c>
      <c r="H40" s="40" t="s">
        <v>172</v>
      </c>
      <c r="I40" s="40" t="str">
        <f>""</f>
        <v/>
      </c>
    </row>
    <row r="41" spans="1:9" x14ac:dyDescent="0.25">
      <c r="A41" t="s">
        <v>269</v>
      </c>
      <c r="B41" t="s">
        <v>102</v>
      </c>
      <c r="C41" s="1">
        <v>397843.93</v>
      </c>
      <c r="D41" s="2">
        <v>41183</v>
      </c>
      <c r="E41" s="2">
        <v>42250</v>
      </c>
      <c r="F41" s="64" t="s">
        <v>172</v>
      </c>
      <c r="G41" s="40" t="s">
        <v>267</v>
      </c>
      <c r="H41" s="40" t="s">
        <v>172</v>
      </c>
    </row>
    <row r="42" spans="1:9" x14ac:dyDescent="0.25">
      <c r="A42" t="str">
        <f>"Communicorp Group Pty Ltd"</f>
        <v>Communicorp Group Pty Ltd</v>
      </c>
      <c r="B42" t="s">
        <v>82</v>
      </c>
      <c r="C42" s="1">
        <v>113050</v>
      </c>
      <c r="D42" s="2">
        <v>41803</v>
      </c>
      <c r="E42" s="2">
        <v>42185</v>
      </c>
      <c r="F42" s="64" t="s">
        <v>172</v>
      </c>
      <c r="G42" s="40" t="str">
        <f>""</f>
        <v/>
      </c>
      <c r="H42" s="40" t="s">
        <v>172</v>
      </c>
      <c r="I42" s="40" t="str">
        <f>""</f>
        <v/>
      </c>
    </row>
    <row r="43" spans="1:9" x14ac:dyDescent="0.25">
      <c r="A43" t="str">
        <f>"Compas Pty Ltd"</f>
        <v>Compas Pty Ltd</v>
      </c>
      <c r="B43" t="s">
        <v>236</v>
      </c>
      <c r="C43" s="1">
        <v>232743.72</v>
      </c>
      <c r="D43" s="2">
        <v>41921</v>
      </c>
      <c r="E43" s="2">
        <v>42111</v>
      </c>
      <c r="F43" s="64" t="s">
        <v>172</v>
      </c>
      <c r="G43" s="40" t="str">
        <f>""</f>
        <v/>
      </c>
      <c r="H43" s="40" t="s">
        <v>172</v>
      </c>
      <c r="I43" s="40" t="str">
        <f>""</f>
        <v/>
      </c>
    </row>
    <row r="44" spans="1:9" x14ac:dyDescent="0.25">
      <c r="A44" t="str">
        <f>"Compas Pty Ltd"</f>
        <v>Compas Pty Ltd</v>
      </c>
      <c r="B44" t="s">
        <v>257</v>
      </c>
      <c r="C44" s="1">
        <v>116371.86</v>
      </c>
      <c r="D44" s="2">
        <v>41995</v>
      </c>
      <c r="E44" s="2">
        <v>42111</v>
      </c>
      <c r="F44" s="64" t="s">
        <v>172</v>
      </c>
      <c r="G44" s="40" t="str">
        <f>""</f>
        <v/>
      </c>
      <c r="H44" s="40" t="s">
        <v>172</v>
      </c>
      <c r="I44" s="40" t="str">
        <f>""</f>
        <v/>
      </c>
    </row>
    <row r="45" spans="1:9" x14ac:dyDescent="0.25">
      <c r="A45" t="s">
        <v>270</v>
      </c>
      <c r="B45" t="s">
        <v>150</v>
      </c>
      <c r="C45" s="1">
        <v>158199.35999999999</v>
      </c>
      <c r="D45" s="2">
        <v>41816</v>
      </c>
      <c r="E45" s="2">
        <v>42017</v>
      </c>
      <c r="F45" s="64" t="s">
        <v>172</v>
      </c>
      <c r="G45" s="40" t="s">
        <v>267</v>
      </c>
      <c r="H45" s="40" t="s">
        <v>172</v>
      </c>
    </row>
    <row r="46" spans="1:9" x14ac:dyDescent="0.25">
      <c r="A46" t="str">
        <f>"Compas Pty Ltd"</f>
        <v>Compas Pty Ltd</v>
      </c>
      <c r="B46" t="s">
        <v>147</v>
      </c>
      <c r="C46" s="1">
        <v>330000</v>
      </c>
      <c r="D46" s="2">
        <v>41817</v>
      </c>
      <c r="E46" s="2">
        <v>42185</v>
      </c>
      <c r="F46" s="64" t="s">
        <v>172</v>
      </c>
      <c r="G46" s="40" t="str">
        <f>""</f>
        <v/>
      </c>
      <c r="H46" s="40" t="s">
        <v>172</v>
      </c>
      <c r="I46" s="40" t="str">
        <f>""</f>
        <v/>
      </c>
    </row>
    <row r="47" spans="1:9" x14ac:dyDescent="0.25">
      <c r="A47" t="str">
        <f>"Compas Pty Ltd"</f>
        <v>Compas Pty Ltd</v>
      </c>
      <c r="B47" t="s">
        <v>203</v>
      </c>
      <c r="C47" s="1">
        <v>316398.71999999997</v>
      </c>
      <c r="D47" s="2">
        <v>41837</v>
      </c>
      <c r="E47" s="2">
        <v>42185</v>
      </c>
      <c r="F47" s="64" t="s">
        <v>172</v>
      </c>
      <c r="G47" s="40" t="str">
        <f>""</f>
        <v/>
      </c>
      <c r="H47" s="40" t="s">
        <v>172</v>
      </c>
      <c r="I47" s="40" t="str">
        <f>""</f>
        <v/>
      </c>
    </row>
    <row r="48" spans="1:9" x14ac:dyDescent="0.25">
      <c r="A48" t="str">
        <f>"Condap Pty Ltd"</f>
        <v>Condap Pty Ltd</v>
      </c>
      <c r="B48" t="s">
        <v>94</v>
      </c>
      <c r="C48" s="1">
        <v>140000</v>
      </c>
      <c r="D48" s="2">
        <v>40603</v>
      </c>
      <c r="E48" s="2">
        <v>42551</v>
      </c>
      <c r="F48" s="64" t="s">
        <v>172</v>
      </c>
      <c r="G48" s="40" t="str">
        <f>""</f>
        <v/>
      </c>
      <c r="H48" s="40" t="s">
        <v>172</v>
      </c>
    </row>
    <row r="49" spans="1:9" x14ac:dyDescent="0.25">
      <c r="A49" t="str">
        <f>"Corrs Chambers Westgarth"</f>
        <v>Corrs Chambers Westgarth</v>
      </c>
      <c r="B49" t="s">
        <v>182</v>
      </c>
      <c r="C49" s="1">
        <v>154660</v>
      </c>
      <c r="D49" s="2">
        <v>41699</v>
      </c>
      <c r="E49" s="2">
        <v>41997</v>
      </c>
      <c r="F49" s="64" t="s">
        <v>157</v>
      </c>
      <c r="G49" s="40">
        <v>5</v>
      </c>
      <c r="H49" s="40" t="s">
        <v>157</v>
      </c>
      <c r="I49" s="40">
        <v>5</v>
      </c>
    </row>
    <row r="50" spans="1:9" x14ac:dyDescent="0.25">
      <c r="A50" t="str">
        <f>"D W S (NSW) Pty Ltd T/as"</f>
        <v>D W S (NSW) Pty Ltd T/as</v>
      </c>
      <c r="B50" t="s">
        <v>220</v>
      </c>
      <c r="C50" s="1">
        <v>348480</v>
      </c>
      <c r="D50" s="2">
        <v>41848</v>
      </c>
      <c r="E50" s="2">
        <v>42185</v>
      </c>
      <c r="F50" s="64" t="s">
        <v>172</v>
      </c>
      <c r="G50" s="40" t="str">
        <f>""</f>
        <v/>
      </c>
      <c r="H50" s="40" t="s">
        <v>172</v>
      </c>
      <c r="I50" s="40" t="str">
        <f>""</f>
        <v/>
      </c>
    </row>
    <row r="51" spans="1:9" x14ac:dyDescent="0.25">
      <c r="A51" t="str">
        <f>"Data#3 Limited"</f>
        <v>Data#3 Limited</v>
      </c>
      <c r="B51" t="s">
        <v>131</v>
      </c>
      <c r="C51" s="1">
        <v>397980</v>
      </c>
      <c r="D51" s="2">
        <v>41815</v>
      </c>
      <c r="E51" s="2">
        <v>42916</v>
      </c>
      <c r="F51" s="64" t="s">
        <v>172</v>
      </c>
      <c r="G51" s="40" t="str">
        <f>""</f>
        <v/>
      </c>
      <c r="H51" s="40" t="s">
        <v>172</v>
      </c>
      <c r="I51" s="40" t="str">
        <f>""</f>
        <v/>
      </c>
    </row>
    <row r="52" spans="1:9" x14ac:dyDescent="0.25">
      <c r="A52" t="str">
        <f>"Data#3 Limited"</f>
        <v>Data#3 Limited</v>
      </c>
      <c r="B52" t="s">
        <v>48</v>
      </c>
      <c r="C52" s="1">
        <v>303524.07</v>
      </c>
      <c r="D52" s="2">
        <v>41733</v>
      </c>
      <c r="E52" s="2">
        <v>42831</v>
      </c>
      <c r="F52" s="64" t="s">
        <v>172</v>
      </c>
      <c r="G52" s="40" t="str">
        <f>""</f>
        <v/>
      </c>
      <c r="H52" s="40" t="s">
        <v>172</v>
      </c>
      <c r="I52" s="40" t="str">
        <f>""</f>
        <v/>
      </c>
    </row>
    <row r="53" spans="1:9" x14ac:dyDescent="0.25">
      <c r="A53" t="str">
        <f>"Data#3 Limited"</f>
        <v>Data#3 Limited</v>
      </c>
      <c r="B53" t="s">
        <v>35</v>
      </c>
      <c r="C53" s="1">
        <v>217395.31</v>
      </c>
      <c r="D53" s="2">
        <v>41683</v>
      </c>
      <c r="E53" s="2">
        <v>42778</v>
      </c>
      <c r="F53" s="64" t="s">
        <v>172</v>
      </c>
      <c r="G53" s="40" t="str">
        <f>""</f>
        <v/>
      </c>
      <c r="H53" s="40" t="s">
        <v>172</v>
      </c>
      <c r="I53" s="40" t="str">
        <f>""</f>
        <v/>
      </c>
    </row>
    <row r="54" spans="1:9" x14ac:dyDescent="0.25">
      <c r="A54" t="str">
        <f>"Data#3 Limited"</f>
        <v>Data#3 Limited</v>
      </c>
      <c r="B54" t="s">
        <v>50</v>
      </c>
      <c r="C54" s="1">
        <v>115264.75</v>
      </c>
      <c r="D54" s="2">
        <v>41746</v>
      </c>
      <c r="E54" s="2">
        <v>41820</v>
      </c>
      <c r="F54" s="64" t="s">
        <v>172</v>
      </c>
      <c r="G54" s="40" t="str">
        <f>""</f>
        <v/>
      </c>
      <c r="H54" s="40" t="s">
        <v>172</v>
      </c>
      <c r="I54" s="40" t="str">
        <f>""</f>
        <v/>
      </c>
    </row>
    <row r="55" spans="1:9" x14ac:dyDescent="0.25">
      <c r="A55" t="s">
        <v>271</v>
      </c>
      <c r="B55" t="s">
        <v>85</v>
      </c>
      <c r="C55" s="1">
        <v>253022.54</v>
      </c>
      <c r="D55" s="2">
        <v>41808</v>
      </c>
      <c r="E55" s="2">
        <v>42173</v>
      </c>
      <c r="F55" s="64" t="s">
        <v>172</v>
      </c>
      <c r="G55" s="40" t="s">
        <v>267</v>
      </c>
      <c r="H55" s="40" t="s">
        <v>172</v>
      </c>
    </row>
    <row r="56" spans="1:9" x14ac:dyDescent="0.25">
      <c r="A56" t="s">
        <v>271</v>
      </c>
      <c r="B56" t="s">
        <v>83</v>
      </c>
      <c r="C56" s="1">
        <v>461420.24</v>
      </c>
      <c r="D56" s="2">
        <v>41807</v>
      </c>
      <c r="E56" s="2">
        <v>42185</v>
      </c>
      <c r="F56" s="64" t="s">
        <v>172</v>
      </c>
      <c r="G56" s="40" t="s">
        <v>267</v>
      </c>
      <c r="H56" s="40" t="s">
        <v>172</v>
      </c>
    </row>
    <row r="57" spans="1:9" x14ac:dyDescent="0.25">
      <c r="A57" t="s">
        <v>271</v>
      </c>
      <c r="B57" t="s">
        <v>9</v>
      </c>
      <c r="C57" s="1">
        <v>175496.88</v>
      </c>
      <c r="D57" s="2">
        <v>41505</v>
      </c>
      <c r="E57" s="2">
        <v>42185</v>
      </c>
      <c r="F57" s="64" t="s">
        <v>172</v>
      </c>
      <c r="G57" s="40" t="s">
        <v>267</v>
      </c>
      <c r="H57" s="40" t="s">
        <v>172</v>
      </c>
    </row>
    <row r="58" spans="1:9" x14ac:dyDescent="0.25">
      <c r="A58" t="s">
        <v>271</v>
      </c>
      <c r="B58" t="s">
        <v>138</v>
      </c>
      <c r="C58" s="1">
        <v>125745.02</v>
      </c>
      <c r="D58" s="2">
        <v>41813</v>
      </c>
      <c r="E58" s="2">
        <v>42180</v>
      </c>
      <c r="F58" s="64" t="s">
        <v>172</v>
      </c>
      <c r="G58" s="40" t="s">
        <v>267</v>
      </c>
      <c r="H58" s="40" t="s">
        <v>172</v>
      </c>
    </row>
    <row r="59" spans="1:9" x14ac:dyDescent="0.25">
      <c r="A59" t="str">
        <f>"Davidson Trahaire Corpsych Pty Ltd"</f>
        <v>Davidson Trahaire Corpsych Pty Ltd</v>
      </c>
      <c r="B59" t="s">
        <v>111</v>
      </c>
      <c r="C59" s="1">
        <v>225000</v>
      </c>
      <c r="D59" s="2">
        <v>41365</v>
      </c>
      <c r="E59" s="2">
        <v>42460</v>
      </c>
      <c r="F59" s="64" t="s">
        <v>157</v>
      </c>
      <c r="G59" s="40">
        <v>2</v>
      </c>
      <c r="H59" s="40" t="s">
        <v>172</v>
      </c>
    </row>
    <row r="60" spans="1:9" x14ac:dyDescent="0.25">
      <c r="A60" t="str">
        <f>"Dell Australia Pty Limited"</f>
        <v>Dell Australia Pty Limited</v>
      </c>
      <c r="B60" t="s">
        <v>216</v>
      </c>
      <c r="C60" s="1">
        <v>168744.29</v>
      </c>
      <c r="D60" s="2">
        <v>41878</v>
      </c>
      <c r="E60" s="2">
        <v>42264</v>
      </c>
      <c r="F60" s="64" t="s">
        <v>172</v>
      </c>
      <c r="G60" s="40" t="str">
        <f>""</f>
        <v/>
      </c>
      <c r="H60" s="40" t="s">
        <v>172</v>
      </c>
      <c r="I60" s="40" t="str">
        <f>""</f>
        <v/>
      </c>
    </row>
    <row r="61" spans="1:9" x14ac:dyDescent="0.25">
      <c r="A61" t="str">
        <f>"Deloitte Touche Tohmatsu"</f>
        <v>Deloitte Touche Tohmatsu</v>
      </c>
      <c r="B61" t="s">
        <v>15</v>
      </c>
      <c r="C61" s="1">
        <v>271326.90000000002</v>
      </c>
      <c r="D61" s="2">
        <v>41646</v>
      </c>
      <c r="E61" s="55">
        <v>42375</v>
      </c>
      <c r="F61" s="64" t="s">
        <v>172</v>
      </c>
      <c r="G61" s="40" t="str">
        <f>""</f>
        <v/>
      </c>
      <c r="H61" s="40" t="s">
        <v>172</v>
      </c>
      <c r="I61" s="40" t="str">
        <f>""</f>
        <v/>
      </c>
    </row>
    <row r="62" spans="1:9" x14ac:dyDescent="0.25">
      <c r="A62" t="str">
        <f>"DFP Recruitment Services"</f>
        <v>DFP Recruitment Services</v>
      </c>
      <c r="B62" t="s">
        <v>224</v>
      </c>
      <c r="C62" s="1">
        <v>1246143.8</v>
      </c>
      <c r="D62" s="2">
        <v>41873</v>
      </c>
      <c r="E62" s="2">
        <v>42185</v>
      </c>
      <c r="F62" s="64" t="s">
        <v>172</v>
      </c>
      <c r="G62" s="40" t="str">
        <f>""</f>
        <v/>
      </c>
      <c r="H62" s="40" t="s">
        <v>172</v>
      </c>
      <c r="I62" s="40" t="str">
        <f>""</f>
        <v/>
      </c>
    </row>
    <row r="63" spans="1:9" x14ac:dyDescent="0.25">
      <c r="A63" t="str">
        <f>"DFP Recruitment Services"</f>
        <v>DFP Recruitment Services</v>
      </c>
      <c r="B63" t="s">
        <v>28</v>
      </c>
      <c r="C63" s="1">
        <v>134763.75</v>
      </c>
      <c r="D63" s="2">
        <v>41701</v>
      </c>
      <c r="E63" s="2">
        <v>41908</v>
      </c>
      <c r="F63" s="64" t="s">
        <v>172</v>
      </c>
      <c r="G63" s="40" t="str">
        <f>""</f>
        <v/>
      </c>
      <c r="H63" s="40" t="s">
        <v>172</v>
      </c>
      <c r="I63" s="40" t="str">
        <f>""</f>
        <v/>
      </c>
    </row>
    <row r="64" spans="1:9" x14ac:dyDescent="0.25">
      <c r="A64" t="s">
        <v>272</v>
      </c>
      <c r="B64" t="s">
        <v>114</v>
      </c>
      <c r="C64" s="1">
        <v>169953.48</v>
      </c>
      <c r="D64" s="2">
        <v>41426</v>
      </c>
      <c r="E64" s="2">
        <v>42155</v>
      </c>
      <c r="F64" s="64" t="s">
        <v>157</v>
      </c>
      <c r="G64" s="40">
        <v>2</v>
      </c>
      <c r="H64" s="40" t="s">
        <v>172</v>
      </c>
    </row>
    <row r="65" spans="1:9" x14ac:dyDescent="0.25">
      <c r="A65" t="str">
        <f>"DFP Recruitment Services"</f>
        <v>DFP Recruitment Services</v>
      </c>
      <c r="B65" t="s">
        <v>218</v>
      </c>
      <c r="C65" s="1">
        <v>254186</v>
      </c>
      <c r="D65" s="2">
        <v>41887</v>
      </c>
      <c r="E65" s="2">
        <v>42027</v>
      </c>
      <c r="F65" s="64" t="s">
        <v>172</v>
      </c>
      <c r="G65" s="40" t="str">
        <f>""</f>
        <v/>
      </c>
      <c r="H65" s="40" t="s">
        <v>172</v>
      </c>
      <c r="I65" s="40" t="str">
        <f>""</f>
        <v/>
      </c>
    </row>
    <row r="66" spans="1:9" x14ac:dyDescent="0.25">
      <c r="A66" t="str">
        <f>"Dialog Pty Ltd"</f>
        <v>Dialog Pty Ltd</v>
      </c>
      <c r="B66" t="s">
        <v>260</v>
      </c>
      <c r="C66" s="1">
        <v>174240</v>
      </c>
      <c r="D66" s="2">
        <v>41982</v>
      </c>
      <c r="E66" s="2">
        <v>42164</v>
      </c>
      <c r="F66" s="64" t="s">
        <v>172</v>
      </c>
      <c r="G66" s="40" t="str">
        <f>""</f>
        <v/>
      </c>
      <c r="H66" s="40" t="s">
        <v>172</v>
      </c>
      <c r="I66" s="40" t="str">
        <f>""</f>
        <v/>
      </c>
    </row>
    <row r="67" spans="1:9" x14ac:dyDescent="0.25">
      <c r="A67" t="str">
        <f>"Dimension Data Australia Pty Ltd"</f>
        <v>Dimension Data Australia Pty Ltd</v>
      </c>
      <c r="B67" t="s">
        <v>77</v>
      </c>
      <c r="C67" s="1">
        <v>118544.69</v>
      </c>
      <c r="D67" s="2">
        <v>41801</v>
      </c>
      <c r="E67" s="2">
        <v>41849</v>
      </c>
      <c r="F67" s="64" t="s">
        <v>172</v>
      </c>
      <c r="G67" s="40" t="str">
        <f>""</f>
        <v/>
      </c>
      <c r="H67" s="40" t="s">
        <v>172</v>
      </c>
      <c r="I67" s="40" t="str">
        <f>""</f>
        <v/>
      </c>
    </row>
    <row r="68" spans="1:9" x14ac:dyDescent="0.25">
      <c r="A68" t="str">
        <f>"Doll Martin Associates Pty Limited"</f>
        <v>Doll Martin Associates Pty Limited</v>
      </c>
      <c r="B68" t="s">
        <v>207</v>
      </c>
      <c r="C68" s="1">
        <v>112860</v>
      </c>
      <c r="D68" s="2">
        <v>41856</v>
      </c>
      <c r="E68" s="2">
        <v>42216</v>
      </c>
      <c r="F68" s="64" t="s">
        <v>172</v>
      </c>
      <c r="G68" s="40" t="str">
        <f>""</f>
        <v/>
      </c>
      <c r="H68" s="40" t="s">
        <v>172</v>
      </c>
      <c r="I68" s="40" t="str">
        <f>""</f>
        <v/>
      </c>
    </row>
    <row r="69" spans="1:9" x14ac:dyDescent="0.25">
      <c r="A69" t="str">
        <f>"Electroboard Solutions Pty Ltd"</f>
        <v>Electroboard Solutions Pty Ltd</v>
      </c>
      <c r="B69" t="s">
        <v>32</v>
      </c>
      <c r="C69" s="1">
        <v>392370</v>
      </c>
      <c r="D69" s="2">
        <v>41690</v>
      </c>
      <c r="E69" s="2">
        <v>42785</v>
      </c>
      <c r="F69" s="64" t="s">
        <v>172</v>
      </c>
      <c r="G69" s="40" t="str">
        <f>""</f>
        <v/>
      </c>
      <c r="H69" s="40" t="s">
        <v>172</v>
      </c>
      <c r="I69" s="40" t="str">
        <f>""</f>
        <v/>
      </c>
    </row>
    <row r="70" spans="1:9" x14ac:dyDescent="0.25">
      <c r="A70" t="str">
        <f>"Electroboard Solutions Pty Ltd"</f>
        <v>Electroboard Solutions Pty Ltd</v>
      </c>
      <c r="B70" t="s">
        <v>31</v>
      </c>
      <c r="C70" s="1">
        <v>1630907.62</v>
      </c>
      <c r="D70" s="2">
        <v>41671</v>
      </c>
      <c r="E70" s="2">
        <v>42766</v>
      </c>
      <c r="F70" s="64" t="s">
        <v>172</v>
      </c>
      <c r="G70" s="40" t="str">
        <f>""</f>
        <v/>
      </c>
      <c r="H70" s="40" t="s">
        <v>172</v>
      </c>
      <c r="I70" s="40" t="str">
        <f>""</f>
        <v/>
      </c>
    </row>
    <row r="71" spans="1:9" x14ac:dyDescent="0.25">
      <c r="A71" t="str">
        <f>"EMC Global Holdings Company"</f>
        <v>EMC Global Holdings Company</v>
      </c>
      <c r="B71" t="s">
        <v>76</v>
      </c>
      <c r="C71" s="1">
        <v>445176.6</v>
      </c>
      <c r="D71" s="2">
        <v>41789</v>
      </c>
      <c r="E71" s="2">
        <v>42153</v>
      </c>
      <c r="F71" s="64" t="s">
        <v>172</v>
      </c>
      <c r="G71" s="40" t="str">
        <f>""</f>
        <v/>
      </c>
      <c r="H71" s="40" t="s">
        <v>172</v>
      </c>
      <c r="I71" s="40" t="str">
        <f>""</f>
        <v/>
      </c>
    </row>
    <row r="72" spans="1:9" x14ac:dyDescent="0.25">
      <c r="A72" t="str">
        <f>"Emerson Network Power Aust P/L"</f>
        <v>Emerson Network Power Aust P/L</v>
      </c>
      <c r="B72" t="s">
        <v>10</v>
      </c>
      <c r="C72" s="1">
        <v>287049</v>
      </c>
      <c r="D72" s="2">
        <v>41593</v>
      </c>
      <c r="E72" s="55">
        <v>42686</v>
      </c>
      <c r="F72" s="64" t="s">
        <v>172</v>
      </c>
      <c r="G72" s="40" t="str">
        <f>""</f>
        <v/>
      </c>
      <c r="H72" s="40" t="s">
        <v>172</v>
      </c>
    </row>
    <row r="73" spans="1:9" x14ac:dyDescent="0.25">
      <c r="A73" t="str">
        <f>"Ethan Group"</f>
        <v>Ethan Group</v>
      </c>
      <c r="B73" t="s">
        <v>249</v>
      </c>
      <c r="C73" s="1">
        <v>198220</v>
      </c>
      <c r="D73" s="2">
        <v>41982</v>
      </c>
      <c r="E73" s="2">
        <v>42367</v>
      </c>
      <c r="F73" s="64" t="s">
        <v>172</v>
      </c>
      <c r="G73" s="40" t="str">
        <f>""</f>
        <v/>
      </c>
      <c r="H73" s="40" t="s">
        <v>172</v>
      </c>
      <c r="I73" s="40" t="str">
        <f>""</f>
        <v/>
      </c>
    </row>
    <row r="74" spans="1:9" x14ac:dyDescent="0.25">
      <c r="A74" t="str">
        <f>"EY Sweeney Research Pty Limited"</f>
        <v>EY Sweeney Research Pty Limited</v>
      </c>
      <c r="B74" t="s">
        <v>251</v>
      </c>
      <c r="C74" s="1">
        <v>199589</v>
      </c>
      <c r="D74" s="2">
        <v>41988</v>
      </c>
      <c r="E74" s="2">
        <v>42916</v>
      </c>
      <c r="F74" s="64" t="s">
        <v>172</v>
      </c>
      <c r="G74" s="40" t="str">
        <f>""</f>
        <v/>
      </c>
      <c r="H74" s="40" t="s">
        <v>172</v>
      </c>
      <c r="I74" s="40" t="str">
        <f>""</f>
        <v/>
      </c>
    </row>
    <row r="75" spans="1:9" x14ac:dyDescent="0.25">
      <c r="A75" t="str">
        <f>"Factiva Limited"</f>
        <v>Factiva Limited</v>
      </c>
      <c r="B75" t="s">
        <v>204</v>
      </c>
      <c r="C75" s="1">
        <v>125785.8</v>
      </c>
      <c r="D75" s="2">
        <v>41787</v>
      </c>
      <c r="E75" s="2">
        <v>42155</v>
      </c>
      <c r="F75" s="64" t="s">
        <v>172</v>
      </c>
      <c r="G75" s="40" t="str">
        <f>""</f>
        <v/>
      </c>
      <c r="H75" s="40" t="s">
        <v>172</v>
      </c>
      <c r="I75" s="40" t="str">
        <f>""</f>
        <v/>
      </c>
    </row>
    <row r="76" spans="1:9" x14ac:dyDescent="0.25">
      <c r="A76" t="str">
        <f>"Finite Group Apac Pty Ltd T/as"</f>
        <v>Finite Group Apac Pty Ltd T/as</v>
      </c>
      <c r="B76" t="s">
        <v>39</v>
      </c>
      <c r="C76" s="1">
        <v>313228.08</v>
      </c>
      <c r="D76" s="2">
        <v>41731</v>
      </c>
      <c r="E76" s="2">
        <v>41913</v>
      </c>
      <c r="F76" s="64" t="s">
        <v>172</v>
      </c>
      <c r="G76" s="40" t="str">
        <f>""</f>
        <v/>
      </c>
      <c r="H76" s="40" t="s">
        <v>172</v>
      </c>
      <c r="I76" s="40" t="str">
        <f>""</f>
        <v/>
      </c>
    </row>
    <row r="77" spans="1:9" x14ac:dyDescent="0.25">
      <c r="A77" t="str">
        <f>"Finite Recruitment Pty Ltd"</f>
        <v>Finite Recruitment Pty Ltd</v>
      </c>
      <c r="B77" t="s">
        <v>26</v>
      </c>
      <c r="C77" s="1">
        <v>264495</v>
      </c>
      <c r="D77" s="2">
        <v>41673</v>
      </c>
      <c r="E77" s="2">
        <v>41996</v>
      </c>
      <c r="F77" s="64" t="s">
        <v>172</v>
      </c>
      <c r="G77" s="40" t="str">
        <f>""</f>
        <v/>
      </c>
      <c r="H77" s="40" t="s">
        <v>172</v>
      </c>
      <c r="I77" s="40" t="str">
        <f>""</f>
        <v/>
      </c>
    </row>
    <row r="78" spans="1:9" x14ac:dyDescent="0.25">
      <c r="A78" t="str">
        <f>"Finite Recruitment Pty Ltd"</f>
        <v>Finite Recruitment Pty Ltd</v>
      </c>
      <c r="B78" t="s">
        <v>129</v>
      </c>
      <c r="C78" s="1">
        <v>165514.94</v>
      </c>
      <c r="D78" s="2">
        <v>41698</v>
      </c>
      <c r="E78" s="2">
        <v>41879</v>
      </c>
      <c r="F78" s="64" t="s">
        <v>172</v>
      </c>
      <c r="G78" s="40" t="str">
        <f>""</f>
        <v/>
      </c>
      <c r="H78" s="40" t="s">
        <v>172</v>
      </c>
      <c r="I78" s="40" t="str">
        <f>""</f>
        <v/>
      </c>
    </row>
    <row r="79" spans="1:9" x14ac:dyDescent="0.25">
      <c r="A79" t="str">
        <f>"Finity Consulting Pty Limited"</f>
        <v>Finity Consulting Pty Limited</v>
      </c>
      <c r="B79" t="s">
        <v>265</v>
      </c>
      <c r="C79" s="1">
        <v>1600500</v>
      </c>
      <c r="D79" s="2">
        <v>41996</v>
      </c>
      <c r="E79" s="2">
        <v>43096</v>
      </c>
      <c r="F79" s="64" t="s">
        <v>172</v>
      </c>
      <c r="G79" s="40" t="str">
        <f>""</f>
        <v/>
      </c>
      <c r="H79" s="40" t="s">
        <v>172</v>
      </c>
      <c r="I79" s="40" t="str">
        <f>""</f>
        <v/>
      </c>
    </row>
    <row r="80" spans="1:9" x14ac:dyDescent="0.25">
      <c r="A80" t="str">
        <f>"First Derivatives Pty Ltd"</f>
        <v>First Derivatives Pty Ltd</v>
      </c>
      <c r="B80" t="s">
        <v>105</v>
      </c>
      <c r="C80" s="1">
        <v>15561079.789999999</v>
      </c>
      <c r="D80" s="2">
        <v>41255</v>
      </c>
      <c r="E80" s="2">
        <v>42916</v>
      </c>
      <c r="F80" s="64" t="s">
        <v>172</v>
      </c>
      <c r="G80" s="40" t="str">
        <f>""</f>
        <v/>
      </c>
      <c r="H80" s="40" t="s">
        <v>157</v>
      </c>
      <c r="I80" s="40">
        <v>4</v>
      </c>
    </row>
    <row r="81" spans="1:9" x14ac:dyDescent="0.25">
      <c r="A81" t="str">
        <f>"Frontline Systems Australia"</f>
        <v>Frontline Systems Australia</v>
      </c>
      <c r="B81" t="s">
        <v>40</v>
      </c>
      <c r="C81" s="1">
        <v>237593.19</v>
      </c>
      <c r="D81" s="2">
        <v>41722</v>
      </c>
      <c r="E81" s="2">
        <v>42848</v>
      </c>
      <c r="F81" s="64" t="s">
        <v>172</v>
      </c>
      <c r="G81" s="40" t="str">
        <f>""</f>
        <v/>
      </c>
      <c r="H81" s="40" t="s">
        <v>172</v>
      </c>
      <c r="I81" s="40" t="str">
        <f>""</f>
        <v/>
      </c>
    </row>
    <row r="82" spans="1:9" x14ac:dyDescent="0.25">
      <c r="A82" t="str">
        <f>"Frontline Systems Australia"</f>
        <v>Frontline Systems Australia</v>
      </c>
      <c r="B82" t="s">
        <v>49</v>
      </c>
      <c r="C82" s="1">
        <v>181895.74</v>
      </c>
      <c r="D82" s="2">
        <v>41739</v>
      </c>
      <c r="E82" s="2">
        <v>42104</v>
      </c>
      <c r="F82" s="64" t="s">
        <v>172</v>
      </c>
      <c r="G82" s="40" t="str">
        <f>""</f>
        <v/>
      </c>
      <c r="H82" s="40" t="s">
        <v>172</v>
      </c>
      <c r="I82" s="40" t="str">
        <f>""</f>
        <v/>
      </c>
    </row>
    <row r="83" spans="1:9" x14ac:dyDescent="0.25">
      <c r="A83" t="s">
        <v>273</v>
      </c>
      <c r="B83" t="s">
        <v>89</v>
      </c>
      <c r="C83" s="1">
        <v>1962505</v>
      </c>
      <c r="D83" s="2">
        <v>41186</v>
      </c>
      <c r="E83" s="2">
        <v>42280</v>
      </c>
      <c r="F83" s="64" t="s">
        <v>172</v>
      </c>
      <c r="G83" s="40" t="s">
        <v>267</v>
      </c>
      <c r="H83" s="40" t="s">
        <v>172</v>
      </c>
    </row>
    <row r="84" spans="1:9" x14ac:dyDescent="0.25">
      <c r="A84" t="str">
        <f>"Fujitsu Australia Limited"</f>
        <v>Fujitsu Australia Limited</v>
      </c>
      <c r="B84" t="s">
        <v>63</v>
      </c>
      <c r="C84" s="1">
        <v>500000</v>
      </c>
      <c r="D84" s="2">
        <v>41775</v>
      </c>
      <c r="E84" s="2">
        <v>41882</v>
      </c>
      <c r="F84" s="64" t="s">
        <v>172</v>
      </c>
      <c r="G84" s="40" t="str">
        <f>""</f>
        <v/>
      </c>
      <c r="H84" s="40" t="s">
        <v>172</v>
      </c>
      <c r="I84" s="40" t="str">
        <f>""</f>
        <v/>
      </c>
    </row>
    <row r="85" spans="1:9" x14ac:dyDescent="0.25">
      <c r="A85" t="s">
        <v>274</v>
      </c>
      <c r="B85" t="s">
        <v>99</v>
      </c>
      <c r="C85" s="1">
        <v>285936.31</v>
      </c>
      <c r="D85" s="2">
        <v>41031</v>
      </c>
      <c r="E85" s="2">
        <v>42126</v>
      </c>
      <c r="F85" s="64" t="s">
        <v>172</v>
      </c>
      <c r="G85" s="40" t="s">
        <v>267</v>
      </c>
      <c r="H85" s="40" t="s">
        <v>172</v>
      </c>
    </row>
    <row r="86" spans="1:9" x14ac:dyDescent="0.25">
      <c r="A86" t="str">
        <f>"Glad Retail Cleaning"</f>
        <v>Glad Retail Cleaning</v>
      </c>
      <c r="B86" t="s">
        <v>225</v>
      </c>
      <c r="C86" s="1">
        <v>182882.47</v>
      </c>
      <c r="D86" s="2">
        <v>41914</v>
      </c>
      <c r="E86" s="2">
        <v>42185</v>
      </c>
      <c r="F86" s="64" t="s">
        <v>172</v>
      </c>
      <c r="G86" s="40" t="str">
        <f>""</f>
        <v/>
      </c>
      <c r="H86" s="40" t="s">
        <v>172</v>
      </c>
      <c r="I86" s="40" t="str">
        <f>""</f>
        <v/>
      </c>
    </row>
    <row r="87" spans="1:9" x14ac:dyDescent="0.25">
      <c r="A87" t="str">
        <f>"Global Switch Property (Australia) Pty"</f>
        <v>Global Switch Property (Australia) Pty</v>
      </c>
      <c r="B87" t="s">
        <v>69</v>
      </c>
      <c r="C87" s="1">
        <v>106810</v>
      </c>
      <c r="D87" s="2">
        <v>41780</v>
      </c>
      <c r="E87" s="2">
        <v>41820</v>
      </c>
      <c r="F87" s="64" t="s">
        <v>172</v>
      </c>
      <c r="G87" s="40" t="str">
        <f>""</f>
        <v/>
      </c>
      <c r="H87" s="40" t="s">
        <v>172</v>
      </c>
      <c r="I87" s="40" t="str">
        <f>""</f>
        <v/>
      </c>
    </row>
    <row r="88" spans="1:9" x14ac:dyDescent="0.25">
      <c r="A88" t="str">
        <f>"Global Switch Property (Australia) Pty Ltd"</f>
        <v>Global Switch Property (Australia) Pty Ltd</v>
      </c>
      <c r="B88" t="s">
        <v>127</v>
      </c>
      <c r="C88" s="1">
        <v>10327437.560000001</v>
      </c>
      <c r="D88" s="2">
        <v>41489</v>
      </c>
      <c r="E88" s="2">
        <v>45140</v>
      </c>
      <c r="F88" s="64" t="s">
        <v>157</v>
      </c>
      <c r="G88" s="40" t="s">
        <v>169</v>
      </c>
      <c r="H88" s="40" t="s">
        <v>172</v>
      </c>
    </row>
    <row r="89" spans="1:9" x14ac:dyDescent="0.25">
      <c r="A89" t="str">
        <f>"Grant Thornton Australia Limited"</f>
        <v>Grant Thornton Australia Limited</v>
      </c>
      <c r="B89" t="s">
        <v>44</v>
      </c>
      <c r="C89" s="1">
        <v>239200.81</v>
      </c>
      <c r="D89" s="2">
        <v>41736</v>
      </c>
      <c r="E89" s="2">
        <v>41943</v>
      </c>
      <c r="F89" s="64" t="s">
        <v>172</v>
      </c>
      <c r="G89" s="40" t="str">
        <f>""</f>
        <v/>
      </c>
      <c r="H89" s="40" t="s">
        <v>172</v>
      </c>
      <c r="I89" s="40" t="str">
        <f>""</f>
        <v/>
      </c>
    </row>
    <row r="90" spans="1:9" x14ac:dyDescent="0.25">
      <c r="A90" t="str">
        <f>"Greenbox Systems Pty Ltd"</f>
        <v>Greenbox Systems Pty Ltd</v>
      </c>
      <c r="B90" t="s">
        <v>8</v>
      </c>
      <c r="C90" s="1">
        <v>223378.42</v>
      </c>
      <c r="D90" s="2">
        <v>41565</v>
      </c>
      <c r="E90" s="55">
        <v>42660</v>
      </c>
      <c r="F90" s="64" t="s">
        <v>172</v>
      </c>
      <c r="G90" s="40" t="str">
        <f>""</f>
        <v/>
      </c>
      <c r="H90" s="40" t="s">
        <v>172</v>
      </c>
    </row>
    <row r="91" spans="1:9" x14ac:dyDescent="0.25">
      <c r="A91" t="str">
        <f t="shared" ref="A91:A106" si="1">"Greythorn Pty Limited"</f>
        <v>Greythorn Pty Limited</v>
      </c>
      <c r="B91" t="s">
        <v>244</v>
      </c>
      <c r="C91" s="1">
        <v>156594.23999999999</v>
      </c>
      <c r="D91" s="2">
        <v>41962</v>
      </c>
      <c r="E91" s="2">
        <v>42139</v>
      </c>
      <c r="F91" s="64" t="s">
        <v>172</v>
      </c>
      <c r="G91" s="40" t="str">
        <f>""</f>
        <v/>
      </c>
      <c r="H91" s="40" t="s">
        <v>172</v>
      </c>
      <c r="I91" s="40" t="str">
        <f>""</f>
        <v/>
      </c>
    </row>
    <row r="92" spans="1:9" x14ac:dyDescent="0.25">
      <c r="A92" t="str">
        <f t="shared" si="1"/>
        <v>Greythorn Pty Limited</v>
      </c>
      <c r="B92" t="s">
        <v>190</v>
      </c>
      <c r="C92" s="1">
        <v>135954.72</v>
      </c>
      <c r="D92" s="2">
        <v>41775</v>
      </c>
      <c r="E92" s="2">
        <v>41984</v>
      </c>
      <c r="F92" s="64" t="s">
        <v>172</v>
      </c>
      <c r="G92" s="40" t="str">
        <f>""</f>
        <v/>
      </c>
      <c r="H92" s="40" t="s">
        <v>172</v>
      </c>
      <c r="I92" s="40" t="str">
        <f>""</f>
        <v/>
      </c>
    </row>
    <row r="93" spans="1:9" x14ac:dyDescent="0.25">
      <c r="A93" t="str">
        <f t="shared" si="1"/>
        <v>Greythorn Pty Limited</v>
      </c>
      <c r="B93" t="s">
        <v>188</v>
      </c>
      <c r="C93" s="1">
        <v>154857.78</v>
      </c>
      <c r="D93" s="2">
        <v>41780</v>
      </c>
      <c r="E93" s="2">
        <v>41970</v>
      </c>
      <c r="F93" s="64" t="s">
        <v>172</v>
      </c>
      <c r="G93" s="40" t="str">
        <f>""</f>
        <v/>
      </c>
      <c r="H93" s="40" t="s">
        <v>172</v>
      </c>
      <c r="I93" s="40" t="str">
        <f>""</f>
        <v/>
      </c>
    </row>
    <row r="94" spans="1:9" x14ac:dyDescent="0.25">
      <c r="A94" t="str">
        <f t="shared" si="1"/>
        <v>Greythorn Pty Limited</v>
      </c>
      <c r="B94" t="s">
        <v>146</v>
      </c>
      <c r="C94" s="1">
        <v>126720</v>
      </c>
      <c r="D94" s="2">
        <v>41810</v>
      </c>
      <c r="E94" s="2">
        <v>41943</v>
      </c>
      <c r="F94" s="64" t="s">
        <v>172</v>
      </c>
      <c r="G94" s="40" t="str">
        <f>""</f>
        <v/>
      </c>
      <c r="H94" s="40" t="s">
        <v>172</v>
      </c>
      <c r="I94" s="40" t="str">
        <f>""</f>
        <v/>
      </c>
    </row>
    <row r="95" spans="1:9" x14ac:dyDescent="0.25">
      <c r="A95" t="str">
        <f t="shared" si="1"/>
        <v>Greythorn Pty Limited</v>
      </c>
      <c r="B95" t="s">
        <v>22</v>
      </c>
      <c r="C95" s="1">
        <v>193464.48</v>
      </c>
      <c r="D95" s="2">
        <v>41669</v>
      </c>
      <c r="E95" s="2">
        <v>41850</v>
      </c>
      <c r="F95" s="64" t="s">
        <v>172</v>
      </c>
      <c r="G95" s="40" t="str">
        <f>""</f>
        <v/>
      </c>
      <c r="H95" s="40" t="s">
        <v>172</v>
      </c>
      <c r="I95" s="40" t="str">
        <f>""</f>
        <v/>
      </c>
    </row>
    <row r="96" spans="1:9" x14ac:dyDescent="0.25">
      <c r="A96" t="str">
        <f t="shared" si="1"/>
        <v>Greythorn Pty Limited</v>
      </c>
      <c r="B96" t="s">
        <v>36</v>
      </c>
      <c r="C96" s="1">
        <v>109440.1</v>
      </c>
      <c r="D96" s="2">
        <v>41746</v>
      </c>
      <c r="E96" s="2">
        <v>41820</v>
      </c>
      <c r="F96" s="64" t="s">
        <v>172</v>
      </c>
      <c r="G96" s="40" t="str">
        <f>""</f>
        <v/>
      </c>
      <c r="H96" s="40" t="s">
        <v>172</v>
      </c>
      <c r="I96" s="40" t="str">
        <f>""</f>
        <v/>
      </c>
    </row>
    <row r="97" spans="1:9" x14ac:dyDescent="0.25">
      <c r="A97" t="str">
        <f t="shared" si="1"/>
        <v>Greythorn Pty Limited</v>
      </c>
      <c r="B97" t="s">
        <v>18</v>
      </c>
      <c r="C97" s="1">
        <v>154833.35999999999</v>
      </c>
      <c r="D97" s="2">
        <v>41652</v>
      </c>
      <c r="E97" s="2">
        <v>41820</v>
      </c>
      <c r="F97" s="64" t="s">
        <v>172</v>
      </c>
      <c r="G97" s="40" t="str">
        <f>""</f>
        <v/>
      </c>
      <c r="H97" s="40" t="s">
        <v>172</v>
      </c>
      <c r="I97" s="40" t="str">
        <f>""</f>
        <v/>
      </c>
    </row>
    <row r="98" spans="1:9" x14ac:dyDescent="0.25">
      <c r="A98" t="str">
        <f t="shared" si="1"/>
        <v>Greythorn Pty Limited</v>
      </c>
      <c r="B98" t="s">
        <v>189</v>
      </c>
      <c r="C98" s="1">
        <v>224567.2</v>
      </c>
      <c r="D98" s="2">
        <v>41781</v>
      </c>
      <c r="E98" s="2">
        <v>42024</v>
      </c>
      <c r="F98" s="64" t="s">
        <v>172</v>
      </c>
      <c r="G98" s="40" t="str">
        <f>""</f>
        <v/>
      </c>
      <c r="H98" s="40" t="s">
        <v>172</v>
      </c>
      <c r="I98" s="40" t="str">
        <f>""</f>
        <v/>
      </c>
    </row>
    <row r="99" spans="1:9" x14ac:dyDescent="0.25">
      <c r="A99" t="str">
        <f t="shared" si="1"/>
        <v>Greythorn Pty Limited</v>
      </c>
      <c r="B99" t="s">
        <v>149</v>
      </c>
      <c r="C99" s="1">
        <v>290281.2</v>
      </c>
      <c r="D99" s="2">
        <v>41816</v>
      </c>
      <c r="E99" s="2">
        <v>42199</v>
      </c>
      <c r="F99" s="64" t="s">
        <v>172</v>
      </c>
      <c r="G99" s="40" t="str">
        <f>""</f>
        <v/>
      </c>
      <c r="H99" s="40" t="s">
        <v>172</v>
      </c>
      <c r="I99" s="40" t="str">
        <f>""</f>
        <v/>
      </c>
    </row>
    <row r="100" spans="1:9" x14ac:dyDescent="0.25">
      <c r="A100" t="str">
        <f t="shared" si="1"/>
        <v>Greythorn Pty Limited</v>
      </c>
      <c r="B100" t="s">
        <v>148</v>
      </c>
      <c r="C100" s="1">
        <v>499678.96</v>
      </c>
      <c r="D100" s="2">
        <v>41815</v>
      </c>
      <c r="E100" s="2">
        <v>42185</v>
      </c>
      <c r="F100" s="64" t="s">
        <v>172</v>
      </c>
      <c r="G100" s="40" t="str">
        <f>""</f>
        <v/>
      </c>
      <c r="H100" s="40" t="s">
        <v>172</v>
      </c>
      <c r="I100" s="40" t="str">
        <f>""</f>
        <v/>
      </c>
    </row>
    <row r="101" spans="1:9" x14ac:dyDescent="0.25">
      <c r="A101" t="str">
        <f t="shared" si="1"/>
        <v>Greythorn Pty Limited</v>
      </c>
      <c r="B101" t="s">
        <v>228</v>
      </c>
      <c r="C101" s="1">
        <v>189727.56</v>
      </c>
      <c r="D101" s="2">
        <v>41906</v>
      </c>
      <c r="E101" s="2">
        <v>42125</v>
      </c>
      <c r="F101" s="64" t="s">
        <v>172</v>
      </c>
      <c r="G101" s="40" t="str">
        <f>""</f>
        <v/>
      </c>
      <c r="H101" s="40" t="s">
        <v>172</v>
      </c>
      <c r="I101" s="40" t="str">
        <f>""</f>
        <v/>
      </c>
    </row>
    <row r="102" spans="1:9" x14ac:dyDescent="0.25">
      <c r="A102" t="str">
        <f t="shared" si="1"/>
        <v>Greythorn Pty Limited</v>
      </c>
      <c r="B102" t="s">
        <v>208</v>
      </c>
      <c r="C102" s="1">
        <v>193464.48</v>
      </c>
      <c r="D102" s="2">
        <v>41849</v>
      </c>
      <c r="E102" s="2">
        <v>42034</v>
      </c>
      <c r="F102" s="64" t="s">
        <v>172</v>
      </c>
      <c r="G102" s="40" t="str">
        <f>""</f>
        <v/>
      </c>
      <c r="H102" s="40" t="s">
        <v>172</v>
      </c>
      <c r="I102" s="40" t="str">
        <f>""</f>
        <v/>
      </c>
    </row>
    <row r="103" spans="1:9" x14ac:dyDescent="0.25">
      <c r="A103" t="str">
        <f t="shared" si="1"/>
        <v>Greythorn Pty Limited</v>
      </c>
      <c r="B103" t="s">
        <v>214</v>
      </c>
      <c r="C103" s="1">
        <v>175375.2</v>
      </c>
      <c r="D103" s="2">
        <v>41859</v>
      </c>
      <c r="E103" s="2">
        <v>42055</v>
      </c>
      <c r="F103" s="64" t="s">
        <v>172</v>
      </c>
      <c r="G103" s="40" t="str">
        <f>""</f>
        <v/>
      </c>
      <c r="H103" s="40" t="s">
        <v>172</v>
      </c>
      <c r="I103" s="40" t="str">
        <f>""</f>
        <v/>
      </c>
    </row>
    <row r="104" spans="1:9" x14ac:dyDescent="0.25">
      <c r="A104" t="str">
        <f t="shared" si="1"/>
        <v>Greythorn Pty Limited</v>
      </c>
      <c r="B104" t="s">
        <v>60</v>
      </c>
      <c r="C104" s="1">
        <v>384480</v>
      </c>
      <c r="D104" s="2">
        <v>41752</v>
      </c>
      <c r="E104" s="2">
        <v>42134</v>
      </c>
      <c r="F104" s="64" t="s">
        <v>172</v>
      </c>
      <c r="G104" s="40" t="str">
        <f>""</f>
        <v/>
      </c>
      <c r="H104" s="40" t="s">
        <v>172</v>
      </c>
      <c r="I104" s="40" t="str">
        <f>""</f>
        <v/>
      </c>
    </row>
    <row r="105" spans="1:9" x14ac:dyDescent="0.25">
      <c r="A105" t="str">
        <f t="shared" si="1"/>
        <v>Greythorn Pty Limited</v>
      </c>
      <c r="B105" t="s">
        <v>243</v>
      </c>
      <c r="C105" s="1">
        <v>154834.68</v>
      </c>
      <c r="D105" s="2">
        <v>41961</v>
      </c>
      <c r="E105" s="2">
        <v>42153</v>
      </c>
      <c r="F105" s="64" t="s">
        <v>172</v>
      </c>
      <c r="G105" s="40" t="str">
        <f>""</f>
        <v/>
      </c>
      <c r="H105" s="40" t="s">
        <v>172</v>
      </c>
      <c r="I105" s="40" t="str">
        <f>""</f>
        <v/>
      </c>
    </row>
    <row r="106" spans="1:9" x14ac:dyDescent="0.25">
      <c r="A106" t="str">
        <f t="shared" si="1"/>
        <v>Greythorn Pty Limited</v>
      </c>
      <c r="B106" t="s">
        <v>239</v>
      </c>
      <c r="C106" s="1">
        <v>190080</v>
      </c>
      <c r="D106" s="2">
        <v>41942</v>
      </c>
      <c r="E106" s="2">
        <v>42128</v>
      </c>
      <c r="F106" s="64" t="s">
        <v>172</v>
      </c>
      <c r="G106" s="40" t="str">
        <f>""</f>
        <v/>
      </c>
      <c r="H106" s="40" t="s">
        <v>172</v>
      </c>
      <c r="I106" s="40" t="str">
        <f>""</f>
        <v/>
      </c>
    </row>
    <row r="107" spans="1:9" x14ac:dyDescent="0.25">
      <c r="A107" t="str">
        <f>"Hays Specialist Recruitment (Aust) P/L"</f>
        <v>Hays Specialist Recruitment (Aust) P/L</v>
      </c>
      <c r="B107" t="s">
        <v>140</v>
      </c>
      <c r="C107" s="1">
        <v>139256.70000000001</v>
      </c>
      <c r="D107" s="2">
        <v>41819</v>
      </c>
      <c r="E107" s="2">
        <v>41941</v>
      </c>
      <c r="F107" s="64" t="s">
        <v>172</v>
      </c>
      <c r="G107" s="40" t="str">
        <f>""</f>
        <v/>
      </c>
      <c r="H107" s="40" t="s">
        <v>172</v>
      </c>
      <c r="I107" s="40" t="str">
        <f>""</f>
        <v/>
      </c>
    </row>
    <row r="108" spans="1:9" x14ac:dyDescent="0.25">
      <c r="A108" t="str">
        <f>"Hays Specialist Recruitment (Aust) P/L"</f>
        <v>Hays Specialist Recruitment (Aust) P/L</v>
      </c>
      <c r="B108" t="s">
        <v>233</v>
      </c>
      <c r="C108" s="1">
        <v>107563.5</v>
      </c>
      <c r="D108" s="2">
        <v>41901</v>
      </c>
      <c r="E108" s="2">
        <v>42063</v>
      </c>
      <c r="F108" s="64" t="s">
        <v>172</v>
      </c>
      <c r="G108" s="40" t="str">
        <f>""</f>
        <v/>
      </c>
      <c r="H108" s="40" t="s">
        <v>172</v>
      </c>
      <c r="I108" s="40" t="str">
        <f>""</f>
        <v/>
      </c>
    </row>
    <row r="109" spans="1:9" x14ac:dyDescent="0.25">
      <c r="A109" t="str">
        <f>"Henry Davis York Lawyers"</f>
        <v>Henry Davis York Lawyers</v>
      </c>
      <c r="B109" t="s">
        <v>33</v>
      </c>
      <c r="C109" s="1">
        <v>331580</v>
      </c>
      <c r="D109" s="2">
        <v>41699</v>
      </c>
      <c r="E109" s="2">
        <v>42368</v>
      </c>
      <c r="F109" s="64" t="s">
        <v>157</v>
      </c>
      <c r="G109" s="40">
        <v>5</v>
      </c>
      <c r="H109" s="40" t="s">
        <v>157</v>
      </c>
      <c r="I109" s="40">
        <v>5</v>
      </c>
    </row>
    <row r="110" spans="1:9" x14ac:dyDescent="0.25">
      <c r="A110" t="str">
        <f>"Hewlett Packard"</f>
        <v>Hewlett Packard</v>
      </c>
      <c r="B110" t="s">
        <v>74</v>
      </c>
      <c r="C110" s="1">
        <v>411055.15</v>
      </c>
      <c r="D110" s="2">
        <v>41779</v>
      </c>
      <c r="E110" s="2">
        <v>42875</v>
      </c>
      <c r="F110" s="64" t="s">
        <v>172</v>
      </c>
      <c r="G110" s="40" t="str">
        <f>""</f>
        <v/>
      </c>
      <c r="H110" s="40" t="s">
        <v>172</v>
      </c>
      <c r="I110" s="40" t="str">
        <f>""</f>
        <v/>
      </c>
    </row>
    <row r="111" spans="1:9" x14ac:dyDescent="0.25">
      <c r="A111" t="str">
        <f>"Hewlett Packard"</f>
        <v>Hewlett Packard</v>
      </c>
      <c r="B111" t="s">
        <v>58</v>
      </c>
      <c r="C111" s="1">
        <v>461456.67</v>
      </c>
      <c r="D111" s="2">
        <v>41760</v>
      </c>
      <c r="E111" s="2">
        <v>42855</v>
      </c>
      <c r="F111" s="64" t="s">
        <v>172</v>
      </c>
      <c r="G111" s="40" t="str">
        <f>""</f>
        <v/>
      </c>
      <c r="H111" s="40" t="s">
        <v>172</v>
      </c>
      <c r="I111" s="40" t="str">
        <f>""</f>
        <v/>
      </c>
    </row>
    <row r="112" spans="1:9" x14ac:dyDescent="0.25">
      <c r="A112" t="s">
        <v>275</v>
      </c>
      <c r="B112" t="s">
        <v>92</v>
      </c>
      <c r="C112" s="1">
        <v>4557877.46</v>
      </c>
      <c r="D112" s="2">
        <v>39965</v>
      </c>
      <c r="E112" s="2">
        <v>42315</v>
      </c>
      <c r="F112" s="64" t="s">
        <v>172</v>
      </c>
      <c r="G112" s="40" t="s">
        <v>267</v>
      </c>
      <c r="H112" s="40" t="s">
        <v>172</v>
      </c>
    </row>
    <row r="113" spans="1:9" x14ac:dyDescent="0.25">
      <c r="A113" t="str">
        <f>"Hilton Hotel"</f>
        <v>Hilton Hotel</v>
      </c>
      <c r="B113" t="s">
        <v>62</v>
      </c>
      <c r="C113" s="1">
        <v>247980</v>
      </c>
      <c r="D113" s="2">
        <v>41773</v>
      </c>
      <c r="E113" s="2">
        <v>42155</v>
      </c>
      <c r="F113" s="64" t="s">
        <v>172</v>
      </c>
      <c r="G113" s="40" t="str">
        <f>""</f>
        <v/>
      </c>
      <c r="H113" s="40" t="s">
        <v>172</v>
      </c>
      <c r="I113" s="40" t="str">
        <f>""</f>
        <v/>
      </c>
    </row>
    <row r="114" spans="1:9" x14ac:dyDescent="0.25">
      <c r="A114" t="str">
        <f>"Hitachi Data Systems Australia Pty Ltd"</f>
        <v>Hitachi Data Systems Australia Pty Ltd</v>
      </c>
      <c r="B114" t="s">
        <v>80</v>
      </c>
      <c r="C114" s="1">
        <v>309849.23</v>
      </c>
      <c r="D114" s="2">
        <v>41803</v>
      </c>
      <c r="E114" s="2">
        <v>42170</v>
      </c>
      <c r="F114" s="64" t="s">
        <v>172</v>
      </c>
      <c r="G114" s="40" t="str">
        <f>""</f>
        <v/>
      </c>
      <c r="H114" s="40" t="s">
        <v>172</v>
      </c>
      <c r="I114" s="40" t="str">
        <f>""</f>
        <v/>
      </c>
    </row>
    <row r="115" spans="1:9" x14ac:dyDescent="0.25">
      <c r="A115" t="s">
        <v>276</v>
      </c>
      <c r="B115" t="s">
        <v>46</v>
      </c>
      <c r="C115" s="1">
        <v>228829.04</v>
      </c>
      <c r="D115" s="2">
        <v>41738</v>
      </c>
      <c r="E115" s="2">
        <v>42163</v>
      </c>
      <c r="F115" s="64" t="s">
        <v>172</v>
      </c>
      <c r="G115" s="40" t="s">
        <v>267</v>
      </c>
      <c r="H115" s="40" t="s">
        <v>172</v>
      </c>
    </row>
    <row r="116" spans="1:9" x14ac:dyDescent="0.25">
      <c r="A116" t="s">
        <v>276</v>
      </c>
      <c r="B116" t="s">
        <v>72</v>
      </c>
      <c r="C116" s="1">
        <v>346414.31</v>
      </c>
      <c r="D116" s="2">
        <v>41792</v>
      </c>
      <c r="E116" s="2">
        <v>42185</v>
      </c>
      <c r="F116" s="64" t="s">
        <v>172</v>
      </c>
      <c r="G116" s="40" t="s">
        <v>267</v>
      </c>
      <c r="H116" s="40" t="s">
        <v>172</v>
      </c>
    </row>
    <row r="117" spans="1:9" x14ac:dyDescent="0.25">
      <c r="A117" t="str">
        <f>"Hitachi Data Systems Australia Pty Ltd"</f>
        <v>Hitachi Data Systems Australia Pty Ltd</v>
      </c>
      <c r="B117" t="s">
        <v>73</v>
      </c>
      <c r="C117" s="1">
        <v>203324.26</v>
      </c>
      <c r="D117" s="2">
        <v>41786</v>
      </c>
      <c r="E117" s="2">
        <v>42882</v>
      </c>
      <c r="F117" s="64" t="s">
        <v>172</v>
      </c>
      <c r="G117" s="40" t="str">
        <f>""</f>
        <v/>
      </c>
      <c r="H117" s="40" t="s">
        <v>172</v>
      </c>
      <c r="I117" s="40" t="str">
        <f>""</f>
        <v/>
      </c>
    </row>
    <row r="118" spans="1:9" x14ac:dyDescent="0.25">
      <c r="A118" t="str">
        <f>"Hitachi Data Systems Australia Pty Ltd"</f>
        <v>Hitachi Data Systems Australia Pty Ltd</v>
      </c>
      <c r="B118" t="s">
        <v>84</v>
      </c>
      <c r="C118" s="1">
        <v>759000</v>
      </c>
      <c r="D118" s="2">
        <v>41806</v>
      </c>
      <c r="E118" s="2">
        <v>41808</v>
      </c>
      <c r="F118" s="64" t="s">
        <v>172</v>
      </c>
      <c r="G118" s="40" t="str">
        <f>""</f>
        <v/>
      </c>
      <c r="H118" s="40" t="s">
        <v>172</v>
      </c>
      <c r="I118" s="40" t="str">
        <f>""</f>
        <v/>
      </c>
    </row>
    <row r="119" spans="1:9" x14ac:dyDescent="0.25">
      <c r="A119" t="str">
        <f>"Hitachi Data Systems Australia Pty Ltd"</f>
        <v>Hitachi Data Systems Australia Pty Ltd</v>
      </c>
      <c r="B119" t="s">
        <v>4</v>
      </c>
      <c r="C119" s="1">
        <v>144681</v>
      </c>
      <c r="D119" s="2">
        <v>41527</v>
      </c>
      <c r="E119" s="55">
        <v>42622</v>
      </c>
      <c r="F119" s="64" t="s">
        <v>172</v>
      </c>
      <c r="G119" s="40" t="str">
        <f>""</f>
        <v/>
      </c>
      <c r="H119" s="40" t="s">
        <v>172</v>
      </c>
    </row>
    <row r="120" spans="1:9" x14ac:dyDescent="0.25">
      <c r="A120" t="s">
        <v>277</v>
      </c>
      <c r="B120" t="s">
        <v>104</v>
      </c>
      <c r="C120" s="1">
        <v>782376</v>
      </c>
      <c r="D120" s="2">
        <v>41211</v>
      </c>
      <c r="E120" s="2">
        <v>42185</v>
      </c>
      <c r="F120" s="64" t="s">
        <v>172</v>
      </c>
      <c r="G120" s="40" t="s">
        <v>267</v>
      </c>
      <c r="H120" s="40" t="s">
        <v>172</v>
      </c>
    </row>
    <row r="121" spans="1:9" x14ac:dyDescent="0.25">
      <c r="A121" t="str">
        <f>"Hudson Global Resource"</f>
        <v>Hudson Global Resource</v>
      </c>
      <c r="B121" t="s">
        <v>23</v>
      </c>
      <c r="C121" s="1">
        <v>136864.20000000001</v>
      </c>
      <c r="D121" s="2">
        <v>41659</v>
      </c>
      <c r="E121" s="2">
        <v>41838</v>
      </c>
      <c r="F121" s="64" t="s">
        <v>172</v>
      </c>
      <c r="G121" s="40" t="str">
        <f>""</f>
        <v/>
      </c>
      <c r="H121" s="40" t="s">
        <v>172</v>
      </c>
      <c r="I121" s="40" t="str">
        <f>""</f>
        <v/>
      </c>
    </row>
    <row r="122" spans="1:9" x14ac:dyDescent="0.25">
      <c r="A122" t="str">
        <f>"Hudson Global Resources"</f>
        <v>Hudson Global Resources</v>
      </c>
      <c r="B122" t="s">
        <v>197</v>
      </c>
      <c r="C122" s="1">
        <v>136864.20000000001</v>
      </c>
      <c r="D122" s="2">
        <v>41835</v>
      </c>
      <c r="E122" s="2">
        <v>42034</v>
      </c>
      <c r="F122" s="64" t="s">
        <v>172</v>
      </c>
      <c r="G122" s="40" t="str">
        <f>""</f>
        <v/>
      </c>
      <c r="H122" s="40" t="s">
        <v>172</v>
      </c>
      <c r="I122" s="40" t="str">
        <f>""</f>
        <v/>
      </c>
    </row>
    <row r="123" spans="1:9" x14ac:dyDescent="0.25">
      <c r="A123" t="str">
        <f>"Hudson Global Resources"</f>
        <v>Hudson Global Resources</v>
      </c>
      <c r="B123" t="s">
        <v>25</v>
      </c>
      <c r="C123" s="1">
        <v>121785.84</v>
      </c>
      <c r="D123" s="2">
        <v>41676</v>
      </c>
      <c r="E123" s="2">
        <v>41765</v>
      </c>
      <c r="F123" s="64" t="s">
        <v>172</v>
      </c>
      <c r="G123" s="40" t="str">
        <f>""</f>
        <v/>
      </c>
      <c r="H123" s="40" t="s">
        <v>172</v>
      </c>
      <c r="I123" s="40" t="str">
        <f>""</f>
        <v/>
      </c>
    </row>
    <row r="124" spans="1:9" x14ac:dyDescent="0.25">
      <c r="A124" t="str">
        <f>"Hudson Global Resources"</f>
        <v>Hudson Global Resources</v>
      </c>
      <c r="B124" t="s">
        <v>192</v>
      </c>
      <c r="C124" s="1">
        <v>145011.24</v>
      </c>
      <c r="D124" s="2">
        <v>41803</v>
      </c>
      <c r="E124" s="2">
        <v>42111</v>
      </c>
      <c r="F124" s="64" t="s">
        <v>172</v>
      </c>
      <c r="G124" s="40" t="str">
        <f>""</f>
        <v/>
      </c>
      <c r="H124" s="40" t="s">
        <v>172</v>
      </c>
      <c r="I124" s="40" t="str">
        <f>""</f>
        <v/>
      </c>
    </row>
    <row r="125" spans="1:9" x14ac:dyDescent="0.25">
      <c r="A125" t="s">
        <v>278</v>
      </c>
      <c r="B125" t="s">
        <v>144</v>
      </c>
      <c r="C125" s="1">
        <v>824742.22</v>
      </c>
      <c r="D125" s="2">
        <v>41817</v>
      </c>
      <c r="E125" s="2">
        <v>42185</v>
      </c>
      <c r="F125" s="64" t="s">
        <v>172</v>
      </c>
      <c r="G125" s="40" t="s">
        <v>267</v>
      </c>
      <c r="H125" s="40" t="s">
        <v>172</v>
      </c>
    </row>
    <row r="126" spans="1:9" x14ac:dyDescent="0.25">
      <c r="A126" t="str">
        <f>"IBM Australia Limited"</f>
        <v>IBM Australia Limited</v>
      </c>
      <c r="B126" t="s">
        <v>253</v>
      </c>
      <c r="C126" s="1">
        <v>460999.55</v>
      </c>
      <c r="D126" s="2">
        <v>41978</v>
      </c>
      <c r="E126" s="2">
        <v>42369</v>
      </c>
      <c r="F126" s="64" t="s">
        <v>172</v>
      </c>
      <c r="G126" s="40" t="str">
        <f>""</f>
        <v/>
      </c>
      <c r="H126" s="40" t="s">
        <v>172</v>
      </c>
      <c r="I126" s="40" t="str">
        <f>""</f>
        <v/>
      </c>
    </row>
    <row r="127" spans="1:9" x14ac:dyDescent="0.25">
      <c r="A127" t="str">
        <f>"IBM Australia Limited"</f>
        <v>IBM Australia Limited</v>
      </c>
      <c r="B127" t="s">
        <v>17</v>
      </c>
      <c r="C127" s="1">
        <v>447572.4</v>
      </c>
      <c r="D127" s="2">
        <v>41640</v>
      </c>
      <c r="E127" s="2">
        <v>42004</v>
      </c>
      <c r="F127" s="64" t="s">
        <v>172</v>
      </c>
      <c r="G127" s="40" t="str">
        <f>""</f>
        <v/>
      </c>
      <c r="H127" s="40" t="s">
        <v>172</v>
      </c>
      <c r="I127" s="40" t="str">
        <f>""</f>
        <v/>
      </c>
    </row>
    <row r="128" spans="1:9" x14ac:dyDescent="0.25">
      <c r="A128" t="str">
        <f>"Independent Systems Integrators Pty Ltd"</f>
        <v>Independent Systems Integrators Pty Ltd</v>
      </c>
      <c r="B128" t="s">
        <v>71</v>
      </c>
      <c r="C128" s="1">
        <v>360030</v>
      </c>
      <c r="D128" s="2">
        <v>41793</v>
      </c>
      <c r="E128" s="2">
        <v>42915</v>
      </c>
      <c r="F128" s="64" t="s">
        <v>172</v>
      </c>
      <c r="G128" s="40" t="str">
        <f>""</f>
        <v/>
      </c>
      <c r="H128" s="40" t="s">
        <v>172</v>
      </c>
      <c r="I128" s="40" t="str">
        <f>""</f>
        <v/>
      </c>
    </row>
    <row r="129" spans="1:9" x14ac:dyDescent="0.25">
      <c r="A129" t="s">
        <v>279</v>
      </c>
      <c r="B129" t="s">
        <v>87</v>
      </c>
      <c r="C129" s="1">
        <v>803702</v>
      </c>
      <c r="D129" s="2">
        <v>40179</v>
      </c>
      <c r="E129" s="2">
        <v>42035</v>
      </c>
      <c r="F129" s="64" t="s">
        <v>172</v>
      </c>
      <c r="G129" s="40" t="s">
        <v>267</v>
      </c>
      <c r="H129" s="40" t="s">
        <v>172</v>
      </c>
    </row>
    <row r="130" spans="1:9" x14ac:dyDescent="0.25">
      <c r="A130" t="str">
        <f>"Inotec Pty Ltd"</f>
        <v>Inotec Pty Ltd</v>
      </c>
      <c r="B130" t="s">
        <v>135</v>
      </c>
      <c r="C130" s="1">
        <v>303374.71000000002</v>
      </c>
      <c r="D130" s="2">
        <v>41814</v>
      </c>
      <c r="E130" s="2">
        <v>42910</v>
      </c>
      <c r="F130" s="64" t="s">
        <v>172</v>
      </c>
      <c r="G130" s="40" t="str">
        <f>""</f>
        <v/>
      </c>
      <c r="H130" s="40" t="s">
        <v>172</v>
      </c>
      <c r="I130" s="40" t="str">
        <f>""</f>
        <v/>
      </c>
    </row>
    <row r="131" spans="1:9" x14ac:dyDescent="0.25">
      <c r="A131" t="str">
        <f>"Intec 1 Pty Ltd"</f>
        <v>Intec 1 Pty Ltd</v>
      </c>
      <c r="B131" t="s">
        <v>2</v>
      </c>
      <c r="C131" s="1">
        <v>3664508.1</v>
      </c>
      <c r="D131" s="2">
        <v>41533</v>
      </c>
      <c r="E131" s="55">
        <v>42628</v>
      </c>
      <c r="F131" s="64" t="s">
        <v>157</v>
      </c>
      <c r="G131" s="40">
        <v>2</v>
      </c>
      <c r="H131" s="40" t="s">
        <v>172</v>
      </c>
    </row>
    <row r="132" spans="1:9" x14ac:dyDescent="0.25">
      <c r="A132" t="str">
        <f>"Interpro Australia Pty Ltd"</f>
        <v>Interpro Australia Pty Ltd</v>
      </c>
      <c r="B132" t="s">
        <v>184</v>
      </c>
      <c r="C132" s="1">
        <v>172736.19</v>
      </c>
      <c r="D132" s="2">
        <v>41766</v>
      </c>
      <c r="E132" s="2">
        <v>41950</v>
      </c>
      <c r="F132" s="64" t="s">
        <v>172</v>
      </c>
      <c r="G132" s="40" t="str">
        <f>""</f>
        <v/>
      </c>
      <c r="H132" s="40" t="s">
        <v>172</v>
      </c>
      <c r="I132" s="40" t="str">
        <f>""</f>
        <v/>
      </c>
    </row>
    <row r="133" spans="1:9" x14ac:dyDescent="0.25">
      <c r="A133" t="str">
        <f>"IRESS Market Technology Ltd"</f>
        <v>IRESS Market Technology Ltd</v>
      </c>
      <c r="B133" t="s">
        <v>196</v>
      </c>
      <c r="C133" s="1">
        <v>612249</v>
      </c>
      <c r="D133" s="2">
        <v>41816</v>
      </c>
      <c r="E133" s="2">
        <v>42185</v>
      </c>
      <c r="F133" s="64" t="s">
        <v>172</v>
      </c>
      <c r="G133" s="40" t="str">
        <f>""</f>
        <v/>
      </c>
      <c r="H133" s="40" t="s">
        <v>172</v>
      </c>
      <c r="I133" s="40" t="str">
        <f>""</f>
        <v/>
      </c>
    </row>
    <row r="134" spans="1:9" x14ac:dyDescent="0.25">
      <c r="A134" t="str">
        <f>"Isentia Pty Ltd"</f>
        <v>Isentia Pty Ltd</v>
      </c>
      <c r="B134" t="s">
        <v>3</v>
      </c>
      <c r="C134" s="1">
        <v>301644</v>
      </c>
      <c r="D134" s="2">
        <v>41521</v>
      </c>
      <c r="E134" s="55">
        <v>42616</v>
      </c>
      <c r="F134" s="64" t="s">
        <v>172</v>
      </c>
      <c r="G134" s="40" t="str">
        <f>""</f>
        <v/>
      </c>
      <c r="H134" s="40" t="s">
        <v>172</v>
      </c>
    </row>
    <row r="135" spans="1:9" x14ac:dyDescent="0.25">
      <c r="A135" t="str">
        <f>"ISW Solutions"</f>
        <v>ISW Solutions</v>
      </c>
      <c r="B135" t="s">
        <v>142</v>
      </c>
      <c r="C135" s="1">
        <v>572865.54</v>
      </c>
      <c r="D135" s="2">
        <v>41813</v>
      </c>
      <c r="E135" s="2">
        <v>42185</v>
      </c>
      <c r="F135" s="64" t="s">
        <v>172</v>
      </c>
      <c r="G135" s="40" t="str">
        <f>""</f>
        <v/>
      </c>
      <c r="H135" s="40" t="s">
        <v>172</v>
      </c>
      <c r="I135" s="40" t="str">
        <f>""</f>
        <v/>
      </c>
    </row>
    <row r="136" spans="1:9" x14ac:dyDescent="0.25">
      <c r="A136" t="str">
        <f>"James &amp; Monroe Pty Limited"</f>
        <v>James &amp; Monroe Pty Limited</v>
      </c>
      <c r="B136" t="s">
        <v>107</v>
      </c>
      <c r="C136" s="1">
        <v>453668</v>
      </c>
      <c r="D136" s="2">
        <v>41304</v>
      </c>
      <c r="E136" s="55">
        <v>42399</v>
      </c>
      <c r="F136" s="64" t="s">
        <v>172</v>
      </c>
      <c r="G136" s="40" t="str">
        <f>""</f>
        <v/>
      </c>
      <c r="H136" s="40" t="s">
        <v>172</v>
      </c>
    </row>
    <row r="137" spans="1:9" x14ac:dyDescent="0.25">
      <c r="A137" t="s">
        <v>280</v>
      </c>
      <c r="B137" t="s">
        <v>88</v>
      </c>
      <c r="C137" s="1">
        <v>332898</v>
      </c>
      <c r="D137" s="2">
        <v>40254</v>
      </c>
      <c r="E137" s="2">
        <v>42185</v>
      </c>
      <c r="F137" s="64" t="s">
        <v>172</v>
      </c>
      <c r="G137" s="40" t="s">
        <v>267</v>
      </c>
      <c r="H137" s="40" t="s">
        <v>172</v>
      </c>
    </row>
    <row r="138" spans="1:9" x14ac:dyDescent="0.25">
      <c r="A138" t="str">
        <f>"Korda Mentha Pty Ltd"</f>
        <v>Korda Mentha Pty Ltd</v>
      </c>
      <c r="B138" t="s">
        <v>245</v>
      </c>
      <c r="C138" s="1">
        <v>938500</v>
      </c>
      <c r="D138" s="2">
        <v>41940</v>
      </c>
      <c r="E138" s="2">
        <v>42320</v>
      </c>
      <c r="F138" s="64" t="s">
        <v>157</v>
      </c>
      <c r="G138" s="40">
        <v>2</v>
      </c>
      <c r="H138" s="40" t="s">
        <v>157</v>
      </c>
      <c r="I138" s="40">
        <v>4</v>
      </c>
    </row>
    <row r="139" spans="1:9" x14ac:dyDescent="0.25">
      <c r="A139" t="s">
        <v>281</v>
      </c>
      <c r="B139" t="s">
        <v>143</v>
      </c>
      <c r="C139" s="1">
        <v>183857.3</v>
      </c>
      <c r="D139" s="2">
        <v>41817</v>
      </c>
      <c r="E139" s="2">
        <v>42005</v>
      </c>
      <c r="F139" s="64" t="s">
        <v>172</v>
      </c>
      <c r="G139" s="40" t="s">
        <v>267</v>
      </c>
      <c r="H139" s="40" t="s">
        <v>172</v>
      </c>
    </row>
    <row r="140" spans="1:9" x14ac:dyDescent="0.25">
      <c r="A140" t="str">
        <f>"KPMG"</f>
        <v>KPMG</v>
      </c>
      <c r="B140" t="s">
        <v>75</v>
      </c>
      <c r="C140" s="1">
        <v>199100</v>
      </c>
      <c r="D140" s="2">
        <v>41788</v>
      </c>
      <c r="E140" s="2">
        <v>41830</v>
      </c>
      <c r="F140" s="64" t="s">
        <v>172</v>
      </c>
      <c r="G140" s="40" t="str">
        <f>""</f>
        <v/>
      </c>
      <c r="H140" s="40" t="s">
        <v>172</v>
      </c>
      <c r="I140" s="40" t="str">
        <f>""</f>
        <v/>
      </c>
    </row>
    <row r="141" spans="1:9" x14ac:dyDescent="0.25">
      <c r="A141" t="str">
        <f>"KPMG"</f>
        <v>KPMG</v>
      </c>
      <c r="B141" t="s">
        <v>118</v>
      </c>
      <c r="C141" s="1">
        <v>2000000</v>
      </c>
      <c r="D141" s="2">
        <v>41453</v>
      </c>
      <c r="E141" s="55">
        <v>42548</v>
      </c>
      <c r="F141" s="64" t="s">
        <v>157</v>
      </c>
      <c r="G141" s="40">
        <v>2</v>
      </c>
      <c r="H141" s="40" t="s">
        <v>157</v>
      </c>
      <c r="I141" s="40">
        <v>3</v>
      </c>
    </row>
    <row r="142" spans="1:9" x14ac:dyDescent="0.25">
      <c r="A142" t="str">
        <f>"Lexis Nexis"</f>
        <v>Lexis Nexis</v>
      </c>
      <c r="B142" t="s">
        <v>215</v>
      </c>
      <c r="C142" s="1">
        <v>105919.97</v>
      </c>
      <c r="D142" s="2">
        <v>41851</v>
      </c>
      <c r="E142" s="2">
        <v>42216</v>
      </c>
      <c r="F142" s="64" t="s">
        <v>172</v>
      </c>
      <c r="G142" s="40" t="str">
        <f>""</f>
        <v/>
      </c>
      <c r="H142" s="40" t="s">
        <v>172</v>
      </c>
      <c r="I142" s="40" t="str">
        <f>""</f>
        <v/>
      </c>
    </row>
    <row r="143" spans="1:9" x14ac:dyDescent="0.25">
      <c r="A143" t="s">
        <v>282</v>
      </c>
      <c r="B143" t="s">
        <v>101</v>
      </c>
      <c r="C143" s="1">
        <v>1279045.8999999999</v>
      </c>
      <c r="D143" s="2">
        <v>41122</v>
      </c>
      <c r="E143" s="2">
        <v>42216</v>
      </c>
      <c r="F143" s="64" t="s">
        <v>172</v>
      </c>
      <c r="G143" s="40" t="s">
        <v>267</v>
      </c>
      <c r="H143" s="40" t="s">
        <v>172</v>
      </c>
    </row>
    <row r="144" spans="1:9" x14ac:dyDescent="0.25">
      <c r="A144" t="str">
        <f>"List A Barristers"</f>
        <v>List A Barristers</v>
      </c>
      <c r="B144" t="s">
        <v>53</v>
      </c>
      <c r="C144" s="1">
        <v>150000</v>
      </c>
      <c r="D144" s="2">
        <v>41746</v>
      </c>
      <c r="E144" s="2">
        <v>41820</v>
      </c>
      <c r="F144" s="64" t="s">
        <v>172</v>
      </c>
      <c r="G144" s="40">
        <v>5</v>
      </c>
      <c r="H144" s="40" t="s">
        <v>157</v>
      </c>
      <c r="I144" s="40">
        <v>5</v>
      </c>
    </row>
    <row r="145" spans="1:9" x14ac:dyDescent="0.25">
      <c r="A145" t="str">
        <f>"List A Barristers"</f>
        <v>List A Barristers</v>
      </c>
      <c r="B145" t="s">
        <v>185</v>
      </c>
      <c r="C145" s="1">
        <v>100000</v>
      </c>
      <c r="D145" s="2">
        <v>41773</v>
      </c>
      <c r="E145" s="55">
        <v>42551</v>
      </c>
      <c r="F145" s="64" t="s">
        <v>157</v>
      </c>
      <c r="G145" s="40">
        <v>5</v>
      </c>
      <c r="H145" s="40" t="s">
        <v>157</v>
      </c>
      <c r="I145" s="40">
        <v>5</v>
      </c>
    </row>
    <row r="146" spans="1:9" x14ac:dyDescent="0.25">
      <c r="A146" t="s">
        <v>283</v>
      </c>
      <c r="B146" t="s">
        <v>67</v>
      </c>
      <c r="C146" s="1">
        <v>250000</v>
      </c>
      <c r="D146" s="2">
        <v>41774</v>
      </c>
      <c r="E146" s="2">
        <v>42154</v>
      </c>
      <c r="F146" s="64" t="s">
        <v>172</v>
      </c>
      <c r="G146" s="40" t="s">
        <v>267</v>
      </c>
      <c r="H146" s="40" t="s">
        <v>172</v>
      </c>
    </row>
    <row r="147" spans="1:9" x14ac:dyDescent="0.25">
      <c r="A147" t="str">
        <f>"Macquarie Telecom Pty Limited"</f>
        <v>Macquarie Telecom Pty Limited</v>
      </c>
      <c r="B147" t="s">
        <v>194</v>
      </c>
      <c r="C147" s="1">
        <v>1730898.4</v>
      </c>
      <c r="D147" s="2">
        <v>41837</v>
      </c>
      <c r="E147" s="2">
        <v>42932</v>
      </c>
      <c r="F147" s="64" t="s">
        <v>172</v>
      </c>
      <c r="G147" s="40" t="str">
        <f>""</f>
        <v/>
      </c>
      <c r="H147" s="40" t="s">
        <v>172</v>
      </c>
      <c r="I147" s="40" t="str">
        <f>""</f>
        <v/>
      </c>
    </row>
    <row r="148" spans="1:9" x14ac:dyDescent="0.25">
      <c r="A148" t="str">
        <f>"Margaret Hoch"</f>
        <v>Margaret Hoch</v>
      </c>
      <c r="B148" t="s">
        <v>187</v>
      </c>
      <c r="C148" s="1">
        <v>162000</v>
      </c>
      <c r="D148" s="2">
        <v>41785</v>
      </c>
      <c r="E148" s="2">
        <v>42185</v>
      </c>
      <c r="F148" s="64" t="s">
        <v>172</v>
      </c>
      <c r="G148" s="40">
        <v>5</v>
      </c>
      <c r="H148" s="40" t="s">
        <v>157</v>
      </c>
      <c r="I148" s="40">
        <v>5</v>
      </c>
    </row>
    <row r="149" spans="1:9" x14ac:dyDescent="0.25">
      <c r="A149" t="s">
        <v>284</v>
      </c>
      <c r="B149" t="s">
        <v>151</v>
      </c>
      <c r="C149" s="1">
        <v>653532.06000000006</v>
      </c>
      <c r="D149" s="2">
        <v>40520</v>
      </c>
      <c r="E149" s="2">
        <v>42185</v>
      </c>
      <c r="F149" s="64" t="s">
        <v>172</v>
      </c>
      <c r="G149" s="40" t="s">
        <v>267</v>
      </c>
      <c r="H149" s="40" t="s">
        <v>157</v>
      </c>
      <c r="I149" s="40" t="s">
        <v>171</v>
      </c>
    </row>
    <row r="150" spans="1:9" x14ac:dyDescent="0.25">
      <c r="A150" t="str">
        <f>"McGrathNicol Forensic"</f>
        <v>McGrathNicol Forensic</v>
      </c>
      <c r="B150" t="s">
        <v>41</v>
      </c>
      <c r="C150" s="1">
        <v>140540</v>
      </c>
      <c r="D150" s="2">
        <v>41729</v>
      </c>
      <c r="E150" s="2">
        <v>41847</v>
      </c>
      <c r="F150" s="64" t="s">
        <v>172</v>
      </c>
      <c r="G150" s="40" t="str">
        <f>""</f>
        <v/>
      </c>
      <c r="H150" s="40" t="s">
        <v>172</v>
      </c>
      <c r="I150" s="40" t="str">
        <f>""</f>
        <v/>
      </c>
    </row>
    <row r="151" spans="1:9" x14ac:dyDescent="0.25">
      <c r="A151" t="str">
        <f>"McGrathNicol Forensic"</f>
        <v>McGrathNicol Forensic</v>
      </c>
      <c r="B151" t="s">
        <v>254</v>
      </c>
      <c r="C151" s="1">
        <v>130000</v>
      </c>
      <c r="D151" s="2">
        <v>41985</v>
      </c>
      <c r="E151" s="2">
        <v>42185</v>
      </c>
      <c r="F151" s="64" t="s">
        <v>172</v>
      </c>
      <c r="G151" s="40" t="str">
        <f>""</f>
        <v/>
      </c>
      <c r="H151" s="40" t="s">
        <v>172</v>
      </c>
      <c r="I151" s="40" t="str">
        <f>""</f>
        <v/>
      </c>
    </row>
    <row r="152" spans="1:9" x14ac:dyDescent="0.25">
      <c r="A152" t="str">
        <f>"Microsoft Services"</f>
        <v>Microsoft Services</v>
      </c>
      <c r="B152" t="s">
        <v>156</v>
      </c>
      <c r="C152" s="1">
        <v>1036503.6</v>
      </c>
      <c r="D152" s="2">
        <v>41453</v>
      </c>
      <c r="E152" s="55">
        <v>42548</v>
      </c>
      <c r="F152" s="64" t="s">
        <v>172</v>
      </c>
      <c r="G152" s="40" t="str">
        <f>""</f>
        <v/>
      </c>
      <c r="H152" s="40" t="s">
        <v>172</v>
      </c>
    </row>
    <row r="153" spans="1:9" x14ac:dyDescent="0.25">
      <c r="A153" t="str">
        <f>"Minter Ellison"</f>
        <v>Minter Ellison</v>
      </c>
      <c r="B153" t="s">
        <v>200</v>
      </c>
      <c r="C153" s="1">
        <v>157000</v>
      </c>
      <c r="D153" s="2">
        <v>41860</v>
      </c>
      <c r="E153" s="2">
        <v>42069</v>
      </c>
      <c r="F153" s="64" t="s">
        <v>172</v>
      </c>
      <c r="G153" s="40" t="str">
        <f>""</f>
        <v/>
      </c>
      <c r="H153" s="40" t="s">
        <v>172</v>
      </c>
      <c r="I153" s="40" t="str">
        <f>""</f>
        <v/>
      </c>
    </row>
    <row r="154" spans="1:9" x14ac:dyDescent="0.25">
      <c r="A154" t="str">
        <f>"M-Power Solutions Pty Ltd"</f>
        <v>M-Power Solutions Pty Ltd</v>
      </c>
      <c r="B154" t="s">
        <v>6</v>
      </c>
      <c r="C154" s="1">
        <v>460783.4</v>
      </c>
      <c r="D154" s="2">
        <v>41541</v>
      </c>
      <c r="E154" s="55">
        <v>42636</v>
      </c>
      <c r="F154" s="64" t="s">
        <v>172</v>
      </c>
      <c r="G154" s="40" t="str">
        <f>""</f>
        <v/>
      </c>
      <c r="H154" s="40" t="s">
        <v>172</v>
      </c>
    </row>
    <row r="155" spans="1:9" x14ac:dyDescent="0.25">
      <c r="A155" t="s">
        <v>285</v>
      </c>
      <c r="B155" t="s">
        <v>1</v>
      </c>
      <c r="C155" s="1">
        <v>274000</v>
      </c>
      <c r="D155" s="2">
        <v>41470</v>
      </c>
      <c r="E155" s="2">
        <v>42199</v>
      </c>
      <c r="F155" s="64" t="s">
        <v>172</v>
      </c>
      <c r="G155" s="40" t="s">
        <v>267</v>
      </c>
      <c r="H155" s="40" t="s">
        <v>172</v>
      </c>
    </row>
    <row r="156" spans="1:9" x14ac:dyDescent="0.25">
      <c r="A156" t="str">
        <f>"NetApp Australia Pty Ltd"</f>
        <v>NetApp Australia Pty Ltd</v>
      </c>
      <c r="B156" t="s">
        <v>47</v>
      </c>
      <c r="C156" s="1">
        <v>283757.84999999998</v>
      </c>
      <c r="D156" s="2">
        <v>41732</v>
      </c>
      <c r="E156" s="2">
        <v>43193</v>
      </c>
      <c r="F156" s="64" t="s">
        <v>172</v>
      </c>
      <c r="G156" s="40" t="str">
        <f>""</f>
        <v/>
      </c>
      <c r="H156" s="40" t="s">
        <v>172</v>
      </c>
      <c r="I156" s="40" t="str">
        <f>""</f>
        <v/>
      </c>
    </row>
    <row r="157" spans="1:9" x14ac:dyDescent="0.25">
      <c r="A157" t="str">
        <f>"Netapp Australia Pty Ltd"</f>
        <v>Netapp Australia Pty Ltd</v>
      </c>
      <c r="B157" t="s">
        <v>255</v>
      </c>
      <c r="C157" s="1">
        <v>124376.43</v>
      </c>
      <c r="D157" s="2">
        <v>41995</v>
      </c>
      <c r="E157" s="2">
        <v>42356</v>
      </c>
      <c r="F157" s="64" t="s">
        <v>172</v>
      </c>
      <c r="G157" s="40" t="str">
        <f>""</f>
        <v/>
      </c>
      <c r="H157" s="40" t="s">
        <v>172</v>
      </c>
      <c r="I157" s="40" t="str">
        <f>""</f>
        <v/>
      </c>
    </row>
    <row r="158" spans="1:9" x14ac:dyDescent="0.25">
      <c r="A158" t="str">
        <f>"Netapp Australia Pty Ltd"</f>
        <v>Netapp Australia Pty Ltd</v>
      </c>
      <c r="B158" t="s">
        <v>79</v>
      </c>
      <c r="C158" s="1">
        <v>202160.75</v>
      </c>
      <c r="D158" s="2">
        <v>41803</v>
      </c>
      <c r="E158" s="2">
        <v>42185</v>
      </c>
      <c r="F158" s="64" t="s">
        <v>172</v>
      </c>
      <c r="G158" s="40" t="str">
        <f>""</f>
        <v/>
      </c>
      <c r="H158" s="40" t="s">
        <v>172</v>
      </c>
      <c r="I158" s="40" t="str">
        <f>""</f>
        <v/>
      </c>
    </row>
    <row r="159" spans="1:9" x14ac:dyDescent="0.25">
      <c r="A159" t="s">
        <v>286</v>
      </c>
      <c r="B159" t="s">
        <v>139</v>
      </c>
      <c r="C159" s="1">
        <v>469310.64</v>
      </c>
      <c r="D159" s="2">
        <v>41809</v>
      </c>
      <c r="E159" s="2">
        <v>42185</v>
      </c>
      <c r="F159" s="64" t="s">
        <v>172</v>
      </c>
      <c r="G159" s="40" t="s">
        <v>267</v>
      </c>
      <c r="H159" s="40" t="s">
        <v>172</v>
      </c>
    </row>
    <row r="160" spans="1:9" x14ac:dyDescent="0.25">
      <c r="A160" t="str">
        <f>"Norton Rose Australia"</f>
        <v>Norton Rose Australia</v>
      </c>
      <c r="B160" t="s">
        <v>186</v>
      </c>
      <c r="C160" s="1">
        <v>116430.51</v>
      </c>
      <c r="D160" s="2">
        <v>41778</v>
      </c>
      <c r="E160" s="2">
        <v>41974</v>
      </c>
      <c r="F160" s="64" t="s">
        <v>157</v>
      </c>
      <c r="G160" s="40">
        <v>5</v>
      </c>
      <c r="H160" s="40" t="s">
        <v>157</v>
      </c>
      <c r="I160" s="40">
        <v>5</v>
      </c>
    </row>
    <row r="161" spans="1:10" x14ac:dyDescent="0.25">
      <c r="A161" t="str">
        <f>"Norton Rose Australia"</f>
        <v>Norton Rose Australia</v>
      </c>
      <c r="B161" t="s">
        <v>217</v>
      </c>
      <c r="C161" s="1">
        <v>164868</v>
      </c>
      <c r="D161" s="2">
        <v>41879</v>
      </c>
      <c r="E161" s="2">
        <v>42247</v>
      </c>
      <c r="F161" s="64" t="s">
        <v>172</v>
      </c>
      <c r="G161" s="40" t="str">
        <f>""</f>
        <v/>
      </c>
      <c r="H161" s="40" t="s">
        <v>172</v>
      </c>
      <c r="I161" s="40" t="str">
        <f>""</f>
        <v/>
      </c>
    </row>
    <row r="162" spans="1:10" x14ac:dyDescent="0.25">
      <c r="A162" t="str">
        <f>"NSW Department of Education and Community"</f>
        <v>NSW Department of Education and Community</v>
      </c>
      <c r="B162" t="s">
        <v>38</v>
      </c>
      <c r="C162" s="1">
        <v>105862.9</v>
      </c>
      <c r="D162" s="2">
        <v>41717</v>
      </c>
      <c r="E162" s="2">
        <v>41817</v>
      </c>
      <c r="F162" s="64" t="s">
        <v>172</v>
      </c>
      <c r="G162" s="40" t="str">
        <f>""</f>
        <v/>
      </c>
      <c r="H162" s="40" t="s">
        <v>172</v>
      </c>
      <c r="I162" s="40" t="str">
        <f>""</f>
        <v/>
      </c>
    </row>
    <row r="163" spans="1:10" x14ac:dyDescent="0.25">
      <c r="A163" t="s">
        <v>287</v>
      </c>
      <c r="B163" t="s">
        <v>96</v>
      </c>
      <c r="C163" s="1">
        <v>2062500</v>
      </c>
      <c r="D163" s="2">
        <v>40968</v>
      </c>
      <c r="E163" s="2">
        <v>42063</v>
      </c>
      <c r="F163" s="64" t="s">
        <v>172</v>
      </c>
      <c r="G163" s="40" t="s">
        <v>267</v>
      </c>
      <c r="H163" s="40" t="s">
        <v>172</v>
      </c>
    </row>
    <row r="164" spans="1:10" x14ac:dyDescent="0.25">
      <c r="A164" t="s">
        <v>288</v>
      </c>
      <c r="B164" t="s">
        <v>93</v>
      </c>
      <c r="C164" s="1">
        <v>2685946</v>
      </c>
      <c r="D164" s="2">
        <v>40725</v>
      </c>
      <c r="E164" s="2">
        <v>42185</v>
      </c>
      <c r="F164" s="64" t="s">
        <v>172</v>
      </c>
      <c r="G164" s="40" t="s">
        <v>267</v>
      </c>
      <c r="H164" s="40" t="s">
        <v>172</v>
      </c>
    </row>
    <row r="165" spans="1:10" x14ac:dyDescent="0.25">
      <c r="A165" t="str">
        <f>"OPen Text Pty Ltd"</f>
        <v>OPen Text Pty Ltd</v>
      </c>
      <c r="B165" t="s">
        <v>130</v>
      </c>
      <c r="C165" s="1">
        <v>2157039</v>
      </c>
      <c r="D165" s="2">
        <v>41807</v>
      </c>
      <c r="E165" s="2">
        <v>42902</v>
      </c>
      <c r="F165" s="64" t="s">
        <v>172</v>
      </c>
      <c r="G165" s="40" t="str">
        <f>""</f>
        <v/>
      </c>
      <c r="H165" s="40" t="s">
        <v>172</v>
      </c>
      <c r="I165" s="40" t="str">
        <f>""</f>
        <v/>
      </c>
    </row>
    <row r="166" spans="1:10" x14ac:dyDescent="0.25">
      <c r="A166" t="str">
        <f>"Optus"</f>
        <v>Optus</v>
      </c>
      <c r="B166" t="s">
        <v>109</v>
      </c>
      <c r="C166" s="1">
        <v>2083360.4</v>
      </c>
      <c r="D166" s="2">
        <v>41365</v>
      </c>
      <c r="E166" s="55">
        <v>42460</v>
      </c>
      <c r="F166" s="64" t="s">
        <v>172</v>
      </c>
      <c r="G166" s="40" t="str">
        <f>""</f>
        <v/>
      </c>
      <c r="H166" s="40" t="s">
        <v>172</v>
      </c>
    </row>
    <row r="167" spans="1:10" x14ac:dyDescent="0.25">
      <c r="A167" t="str">
        <f>"Optus"</f>
        <v>Optus</v>
      </c>
      <c r="B167" t="s">
        <v>117</v>
      </c>
      <c r="C167" s="1">
        <v>2415182</v>
      </c>
      <c r="D167" s="2">
        <v>41365</v>
      </c>
      <c r="E167" s="55">
        <v>42460</v>
      </c>
      <c r="F167" s="64" t="s">
        <v>172</v>
      </c>
      <c r="G167" s="40" t="str">
        <f>""</f>
        <v/>
      </c>
      <c r="H167" s="40" t="s">
        <v>172</v>
      </c>
    </row>
    <row r="168" spans="1:10" x14ac:dyDescent="0.25">
      <c r="A168" t="str">
        <f>"Optus Networks Pty Ltd"</f>
        <v>Optus Networks Pty Ltd</v>
      </c>
      <c r="B168" t="s">
        <v>113</v>
      </c>
      <c r="C168" s="1">
        <v>3485705.3</v>
      </c>
      <c r="D168" s="2">
        <v>41334</v>
      </c>
      <c r="E168" s="55">
        <v>42429</v>
      </c>
      <c r="F168" s="64" t="s">
        <v>172</v>
      </c>
      <c r="G168" s="40" t="str">
        <f>""</f>
        <v/>
      </c>
      <c r="H168" s="40" t="s">
        <v>172</v>
      </c>
    </row>
    <row r="169" spans="1:10" x14ac:dyDescent="0.25">
      <c r="A169" t="str">
        <f>"Oracle Corporation (Aust) Pty Ltd"</f>
        <v>Oracle Corporation (Aust) Pty Ltd</v>
      </c>
      <c r="B169" t="s">
        <v>252</v>
      </c>
      <c r="C169" s="1">
        <v>1280135.74</v>
      </c>
      <c r="D169" s="2">
        <v>41977</v>
      </c>
      <c r="E169" s="55">
        <v>42370</v>
      </c>
      <c r="F169" s="64" t="s">
        <v>172</v>
      </c>
      <c r="G169" s="40" t="str">
        <f>""</f>
        <v/>
      </c>
      <c r="H169" s="40" t="s">
        <v>172</v>
      </c>
      <c r="I169" s="40" t="str">
        <f>""</f>
        <v/>
      </c>
    </row>
    <row r="170" spans="1:10" x14ac:dyDescent="0.25">
      <c r="A170" t="str">
        <f>"Oracle Corporation (Aust) Pty Ltd"</f>
        <v>Oracle Corporation (Aust) Pty Ltd</v>
      </c>
      <c r="B170" t="s">
        <v>42</v>
      </c>
      <c r="C170" s="1">
        <v>390458.98</v>
      </c>
      <c r="D170" s="2">
        <v>41722</v>
      </c>
      <c r="E170" s="2">
        <v>42150</v>
      </c>
      <c r="F170" s="64" t="s">
        <v>172</v>
      </c>
      <c r="G170" s="40" t="str">
        <f>""</f>
        <v/>
      </c>
      <c r="H170" s="40" t="s">
        <v>172</v>
      </c>
      <c r="I170" s="40" t="str">
        <f>""</f>
        <v/>
      </c>
    </row>
    <row r="171" spans="1:10" x14ac:dyDescent="0.25">
      <c r="A171" t="s">
        <v>289</v>
      </c>
      <c r="B171" t="s">
        <v>43</v>
      </c>
      <c r="C171" s="1">
        <v>461634.7</v>
      </c>
      <c r="D171" s="2">
        <v>41787</v>
      </c>
      <c r="E171" s="2">
        <v>42121</v>
      </c>
      <c r="F171" s="64" t="s">
        <v>172</v>
      </c>
      <c r="G171" s="40" t="s">
        <v>267</v>
      </c>
      <c r="H171" s="40" t="s">
        <v>172</v>
      </c>
      <c r="J171" s="2"/>
    </row>
    <row r="172" spans="1:10" x14ac:dyDescent="0.25">
      <c r="A172" t="s">
        <v>289</v>
      </c>
      <c r="B172" t="s">
        <v>34</v>
      </c>
      <c r="C172" s="1">
        <v>115641.26</v>
      </c>
      <c r="D172" s="2">
        <v>41787</v>
      </c>
      <c r="E172" s="2">
        <v>42151</v>
      </c>
      <c r="F172" s="64" t="s">
        <v>172</v>
      </c>
      <c r="G172" s="40" t="s">
        <v>267</v>
      </c>
      <c r="H172" s="40" t="s">
        <v>172</v>
      </c>
      <c r="J172" s="2"/>
    </row>
    <row r="173" spans="1:10" x14ac:dyDescent="0.25">
      <c r="A173" t="s">
        <v>289</v>
      </c>
      <c r="B173" t="s">
        <v>27</v>
      </c>
      <c r="C173" s="1">
        <v>2281426.9900000002</v>
      </c>
      <c r="D173" s="2">
        <v>41701</v>
      </c>
      <c r="E173" s="2">
        <v>42065</v>
      </c>
      <c r="F173" s="64" t="s">
        <v>172</v>
      </c>
      <c r="G173" s="40" t="s">
        <v>267</v>
      </c>
      <c r="H173" s="40" t="s">
        <v>172</v>
      </c>
      <c r="J173" s="2"/>
    </row>
    <row r="174" spans="1:10" x14ac:dyDescent="0.25">
      <c r="A174" t="s">
        <v>289</v>
      </c>
      <c r="B174" t="s">
        <v>108</v>
      </c>
      <c r="C174" s="1">
        <v>3457827.89</v>
      </c>
      <c r="D174" s="2">
        <v>41336</v>
      </c>
      <c r="E174" s="2">
        <v>42015</v>
      </c>
      <c r="F174" s="64" t="s">
        <v>172</v>
      </c>
      <c r="G174" s="40" t="s">
        <v>267</v>
      </c>
      <c r="H174" s="40" t="s">
        <v>172</v>
      </c>
      <c r="J174" s="2"/>
    </row>
    <row r="175" spans="1:10" x14ac:dyDescent="0.25">
      <c r="A175" t="str">
        <f>"Oracle Corporation (Aust) Pty Ltd"</f>
        <v>Oracle Corporation (Aust) Pty Ltd</v>
      </c>
      <c r="B175" t="s">
        <v>247</v>
      </c>
      <c r="C175" s="1">
        <v>130328.53</v>
      </c>
      <c r="D175" s="2">
        <v>41970</v>
      </c>
      <c r="E175" s="2">
        <v>42361</v>
      </c>
      <c r="F175" s="64" t="s">
        <v>172</v>
      </c>
      <c r="G175" s="40" t="str">
        <f>""</f>
        <v/>
      </c>
      <c r="H175" s="40" t="s">
        <v>172</v>
      </c>
      <c r="I175" s="40" t="str">
        <f>""</f>
        <v/>
      </c>
      <c r="J175" s="2"/>
    </row>
    <row r="176" spans="1:10" x14ac:dyDescent="0.25">
      <c r="A176" t="str">
        <f>"Order-In Pty Ltd"</f>
        <v>Order-In Pty Ltd</v>
      </c>
      <c r="B176" t="s">
        <v>246</v>
      </c>
      <c r="C176" s="1">
        <v>350000</v>
      </c>
      <c r="D176" s="2">
        <v>41970</v>
      </c>
      <c r="E176" s="2">
        <v>43070</v>
      </c>
      <c r="F176" s="64" t="s">
        <v>172</v>
      </c>
      <c r="G176" s="40" t="str">
        <f>""</f>
        <v/>
      </c>
      <c r="H176" s="40" t="s">
        <v>172</v>
      </c>
      <c r="I176" s="40" t="str">
        <f>""</f>
        <v/>
      </c>
      <c r="J176" s="2"/>
    </row>
    <row r="177" spans="1:10" x14ac:dyDescent="0.25">
      <c r="A177" t="str">
        <f t="shared" ref="A177:A183" si="2">"Paxus Australia Pty Ltd"</f>
        <v>Paxus Australia Pty Ltd</v>
      </c>
      <c r="B177" t="s">
        <v>227</v>
      </c>
      <c r="C177" s="1">
        <v>131270.04</v>
      </c>
      <c r="D177" s="2">
        <v>41898</v>
      </c>
      <c r="E177" s="2">
        <v>42118</v>
      </c>
      <c r="F177" s="64" t="s">
        <v>172</v>
      </c>
      <c r="G177" s="40" t="str">
        <f>""</f>
        <v/>
      </c>
      <c r="H177" s="40" t="s">
        <v>172</v>
      </c>
      <c r="I177" s="40" t="str">
        <f>""</f>
        <v/>
      </c>
      <c r="J177" s="2"/>
    </row>
    <row r="178" spans="1:10" x14ac:dyDescent="0.25">
      <c r="A178" t="str">
        <f t="shared" si="2"/>
        <v>Paxus Australia Pty Ltd</v>
      </c>
      <c r="B178" t="s">
        <v>70</v>
      </c>
      <c r="C178" s="1">
        <v>421443</v>
      </c>
      <c r="D178" s="2">
        <v>41778</v>
      </c>
      <c r="E178" s="2">
        <v>42137</v>
      </c>
      <c r="F178" s="64" t="s">
        <v>172</v>
      </c>
      <c r="G178" s="40" t="str">
        <f>""</f>
        <v/>
      </c>
      <c r="H178" s="40" t="s">
        <v>172</v>
      </c>
      <c r="I178" s="40" t="str">
        <f>""</f>
        <v/>
      </c>
      <c r="J178" s="2"/>
    </row>
    <row r="179" spans="1:10" x14ac:dyDescent="0.25">
      <c r="A179" t="str">
        <f t="shared" si="2"/>
        <v>Paxus Australia Pty Ltd</v>
      </c>
      <c r="B179" t="s">
        <v>259</v>
      </c>
      <c r="C179" s="1">
        <v>186720.6</v>
      </c>
      <c r="D179" s="2">
        <v>41990</v>
      </c>
      <c r="E179" s="2">
        <v>42185</v>
      </c>
      <c r="F179" s="64" t="s">
        <v>172</v>
      </c>
      <c r="G179" s="40" t="str">
        <f>""</f>
        <v/>
      </c>
      <c r="H179" s="40" t="s">
        <v>172</v>
      </c>
      <c r="I179" s="40" t="str">
        <f>""</f>
        <v/>
      </c>
      <c r="J179" s="2"/>
    </row>
    <row r="180" spans="1:10" x14ac:dyDescent="0.25">
      <c r="A180" t="str">
        <f t="shared" si="2"/>
        <v>Paxus Australia Pty Ltd</v>
      </c>
      <c r="B180" t="s">
        <v>14</v>
      </c>
      <c r="C180" s="1">
        <v>344522.42</v>
      </c>
      <c r="D180" s="2">
        <v>41659</v>
      </c>
      <c r="E180" s="2">
        <v>41996</v>
      </c>
      <c r="F180" s="64" t="s">
        <v>172</v>
      </c>
      <c r="G180" s="40" t="str">
        <f>""</f>
        <v/>
      </c>
      <c r="H180" s="40" t="s">
        <v>172</v>
      </c>
      <c r="I180" s="40" t="str">
        <f>""</f>
        <v/>
      </c>
      <c r="J180" s="2"/>
    </row>
    <row r="181" spans="1:10" x14ac:dyDescent="0.25">
      <c r="A181" t="str">
        <f t="shared" si="2"/>
        <v>Paxus Australia Pty Ltd</v>
      </c>
      <c r="B181" t="s">
        <v>59</v>
      </c>
      <c r="C181" s="1">
        <v>126399.24</v>
      </c>
      <c r="D181" s="2">
        <v>41761</v>
      </c>
      <c r="E181" s="2">
        <v>41946</v>
      </c>
      <c r="F181" s="64" t="s">
        <v>172</v>
      </c>
      <c r="G181" s="40" t="str">
        <f>""</f>
        <v/>
      </c>
      <c r="H181" s="40" t="s">
        <v>172</v>
      </c>
      <c r="I181" s="40" t="str">
        <f>""</f>
        <v/>
      </c>
      <c r="J181" s="2"/>
    </row>
    <row r="182" spans="1:10" x14ac:dyDescent="0.25">
      <c r="A182" t="str">
        <f t="shared" si="2"/>
        <v>Paxus Australia Pty Ltd</v>
      </c>
      <c r="B182" t="s">
        <v>12</v>
      </c>
      <c r="C182" s="1">
        <v>252865.8</v>
      </c>
      <c r="D182" s="2">
        <v>41671</v>
      </c>
      <c r="E182" s="2">
        <v>41759</v>
      </c>
      <c r="F182" s="64" t="s">
        <v>172</v>
      </c>
      <c r="G182" s="40" t="str">
        <f>""</f>
        <v/>
      </c>
      <c r="H182" s="40" t="s">
        <v>172</v>
      </c>
      <c r="I182" s="40" t="str">
        <f>""</f>
        <v/>
      </c>
      <c r="J182" s="2"/>
    </row>
    <row r="183" spans="1:10" x14ac:dyDescent="0.25">
      <c r="A183" t="str">
        <f t="shared" si="2"/>
        <v>Paxus Australia Pty Ltd</v>
      </c>
      <c r="B183" t="s">
        <v>230</v>
      </c>
      <c r="C183" s="1">
        <v>184397.4</v>
      </c>
      <c r="D183" s="2">
        <v>41905</v>
      </c>
      <c r="E183" s="2">
        <v>42096</v>
      </c>
      <c r="F183" s="64" t="s">
        <v>172</v>
      </c>
      <c r="G183" s="40" t="str">
        <f>""</f>
        <v/>
      </c>
      <c r="H183" s="40" t="s">
        <v>172</v>
      </c>
      <c r="I183" s="40" t="str">
        <f>""</f>
        <v/>
      </c>
      <c r="J183" s="2"/>
    </row>
    <row r="184" spans="1:10" x14ac:dyDescent="0.25">
      <c r="A184" t="str">
        <f>"PeopleBank Australia Limited"</f>
        <v>PeopleBank Australia Limited</v>
      </c>
      <c r="B184" t="s">
        <v>261</v>
      </c>
      <c r="C184" s="1">
        <v>132102.96</v>
      </c>
      <c r="D184" s="2">
        <v>41995</v>
      </c>
      <c r="E184" s="2">
        <v>42181</v>
      </c>
      <c r="F184" s="64" t="s">
        <v>172</v>
      </c>
      <c r="G184" s="40" t="str">
        <f>""</f>
        <v/>
      </c>
      <c r="H184" s="40" t="s">
        <v>172</v>
      </c>
      <c r="I184" s="40" t="str">
        <f>""</f>
        <v/>
      </c>
      <c r="J184" s="2"/>
    </row>
    <row r="185" spans="1:10" x14ac:dyDescent="0.25">
      <c r="A185" t="str">
        <f>"Peoplebank Australia Limited"</f>
        <v>Peoplebank Australia Limited</v>
      </c>
      <c r="B185" t="s">
        <v>21</v>
      </c>
      <c r="C185" s="1">
        <v>133535.6</v>
      </c>
      <c r="D185" s="2">
        <v>41645</v>
      </c>
      <c r="E185" s="2">
        <v>41820</v>
      </c>
      <c r="F185" s="64" t="s">
        <v>172</v>
      </c>
      <c r="G185" s="40" t="str">
        <f>""</f>
        <v/>
      </c>
      <c r="H185" s="40" t="s">
        <v>172</v>
      </c>
      <c r="I185" s="40" t="str">
        <f>""</f>
        <v/>
      </c>
      <c r="J185" s="2"/>
    </row>
    <row r="186" spans="1:10" x14ac:dyDescent="0.25">
      <c r="A186" t="s">
        <v>290</v>
      </c>
      <c r="B186" t="s">
        <v>155</v>
      </c>
      <c r="C186" s="1">
        <v>200000</v>
      </c>
      <c r="D186" s="2">
        <v>41137</v>
      </c>
      <c r="E186" s="2">
        <v>42185</v>
      </c>
      <c r="F186" s="64" t="s">
        <v>172</v>
      </c>
      <c r="G186" s="40" t="s">
        <v>267</v>
      </c>
      <c r="H186" s="40" t="s">
        <v>157</v>
      </c>
      <c r="I186" s="40" t="s">
        <v>171</v>
      </c>
      <c r="J186" s="2"/>
    </row>
    <row r="187" spans="1:10" x14ac:dyDescent="0.25">
      <c r="A187" t="str">
        <f>"Premier Protection Agency"</f>
        <v>Premier Protection Agency</v>
      </c>
      <c r="B187" t="s">
        <v>211</v>
      </c>
      <c r="C187" s="1">
        <v>322411.53999999998</v>
      </c>
      <c r="D187" s="2">
        <v>41883</v>
      </c>
      <c r="E187" s="2">
        <v>42978</v>
      </c>
      <c r="F187" s="64" t="s">
        <v>172</v>
      </c>
      <c r="G187" s="40" t="str">
        <f>""</f>
        <v/>
      </c>
      <c r="H187" s="40" t="s">
        <v>172</v>
      </c>
      <c r="I187" s="40" t="str">
        <f>""</f>
        <v/>
      </c>
      <c r="J187" s="2"/>
    </row>
    <row r="188" spans="1:10" x14ac:dyDescent="0.25">
      <c r="A188" t="str">
        <f>"Premier Protection Agency"</f>
        <v>Premier Protection Agency</v>
      </c>
      <c r="B188" t="s">
        <v>212</v>
      </c>
      <c r="C188" s="1">
        <v>513189.86</v>
      </c>
      <c r="D188" s="2">
        <v>41883</v>
      </c>
      <c r="E188" s="2">
        <v>42978</v>
      </c>
      <c r="F188" s="64" t="s">
        <v>172</v>
      </c>
      <c r="G188" s="40" t="str">
        <f>""</f>
        <v/>
      </c>
      <c r="H188" s="40" t="s">
        <v>172</v>
      </c>
      <c r="I188" s="40" t="str">
        <f>""</f>
        <v/>
      </c>
      <c r="J188" s="2"/>
    </row>
    <row r="189" spans="1:10" x14ac:dyDescent="0.25">
      <c r="A189" t="str">
        <f>"Premier Protection Agency"</f>
        <v>Premier Protection Agency</v>
      </c>
      <c r="B189" t="s">
        <v>210</v>
      </c>
      <c r="C189" s="1">
        <v>2450980.15</v>
      </c>
      <c r="D189" s="2">
        <v>41883</v>
      </c>
      <c r="E189" s="2">
        <v>42978</v>
      </c>
      <c r="F189" s="64" t="s">
        <v>172</v>
      </c>
      <c r="G189" s="40" t="str">
        <f>""</f>
        <v/>
      </c>
      <c r="H189" s="40" t="s">
        <v>172</v>
      </c>
      <c r="I189" s="40" t="str">
        <f>""</f>
        <v/>
      </c>
      <c r="J189" s="2"/>
    </row>
    <row r="190" spans="1:10" x14ac:dyDescent="0.25">
      <c r="A190" t="str">
        <f>"Premier Protection Agency"</f>
        <v>Premier Protection Agency</v>
      </c>
      <c r="B190" t="s">
        <v>195</v>
      </c>
      <c r="C190" s="1">
        <v>201344</v>
      </c>
      <c r="D190" s="2">
        <v>41843</v>
      </c>
      <c r="E190" s="2">
        <v>42207</v>
      </c>
      <c r="F190" s="64" t="s">
        <v>172</v>
      </c>
      <c r="G190" s="40" t="str">
        <f>""</f>
        <v/>
      </c>
      <c r="H190" s="40" t="s">
        <v>172</v>
      </c>
      <c r="I190" s="40" t="str">
        <f>""</f>
        <v/>
      </c>
      <c r="J190" s="2"/>
    </row>
    <row r="191" spans="1:10" x14ac:dyDescent="0.25">
      <c r="A191" t="str">
        <f>"PriceWaterhouseCoopers"</f>
        <v>PriceWaterhouseCoopers</v>
      </c>
      <c r="B191" t="s">
        <v>51</v>
      </c>
      <c r="C191" s="1">
        <v>152298.29999999999</v>
      </c>
      <c r="D191" s="2">
        <v>41673</v>
      </c>
      <c r="E191" s="2">
        <v>41820</v>
      </c>
      <c r="F191" s="64" t="s">
        <v>172</v>
      </c>
      <c r="G191" s="40" t="str">
        <f>""</f>
        <v/>
      </c>
      <c r="H191" s="40" t="s">
        <v>172</v>
      </c>
      <c r="I191" s="40" t="str">
        <f>""</f>
        <v/>
      </c>
      <c r="J191" s="2"/>
    </row>
    <row r="192" spans="1:10" x14ac:dyDescent="0.25">
      <c r="A192" t="str">
        <f>"Public Transport Development Authority"</f>
        <v>Public Transport Development Authority</v>
      </c>
      <c r="B192" t="s">
        <v>86</v>
      </c>
      <c r="C192" s="1">
        <v>259073.1</v>
      </c>
      <c r="D192" s="2">
        <v>41803</v>
      </c>
      <c r="E192" s="2">
        <v>42185</v>
      </c>
      <c r="F192" s="64" t="s">
        <v>172</v>
      </c>
      <c r="G192" s="40" t="str">
        <f>""</f>
        <v/>
      </c>
      <c r="H192" s="40" t="s">
        <v>172</v>
      </c>
      <c r="I192" s="40" t="str">
        <f>""</f>
        <v/>
      </c>
      <c r="J192" s="2"/>
    </row>
    <row r="193" spans="1:10" x14ac:dyDescent="0.25">
      <c r="A193" t="s">
        <v>291</v>
      </c>
      <c r="B193" t="s">
        <v>100</v>
      </c>
      <c r="C193" s="1">
        <v>236500</v>
      </c>
      <c r="D193" s="2">
        <v>40963</v>
      </c>
      <c r="E193" s="2">
        <v>42058</v>
      </c>
      <c r="F193" s="64" t="s">
        <v>172</v>
      </c>
      <c r="G193" s="40" t="s">
        <v>267</v>
      </c>
      <c r="H193" s="40" t="s">
        <v>172</v>
      </c>
    </row>
    <row r="194" spans="1:10" x14ac:dyDescent="0.25">
      <c r="A194" t="str">
        <f>"Ranstad Pty Ltd"</f>
        <v>Ranstad Pty Ltd</v>
      </c>
      <c r="B194" t="s">
        <v>240</v>
      </c>
      <c r="C194" s="1">
        <v>174356.16</v>
      </c>
      <c r="D194" s="2">
        <v>41942</v>
      </c>
      <c r="E194" s="2">
        <v>42104</v>
      </c>
      <c r="F194" s="64" t="s">
        <v>172</v>
      </c>
      <c r="G194" s="40" t="str">
        <f>""</f>
        <v/>
      </c>
      <c r="H194" s="40" t="s">
        <v>172</v>
      </c>
      <c r="I194" s="40" t="str">
        <f>""</f>
        <v/>
      </c>
      <c r="J194" s="2"/>
    </row>
    <row r="195" spans="1:10" x14ac:dyDescent="0.25">
      <c r="A195" t="str">
        <f>"Ranstad Pty Ltd"</f>
        <v>Ranstad Pty Ltd</v>
      </c>
      <c r="B195" t="s">
        <v>234</v>
      </c>
      <c r="C195" s="1">
        <v>246985.2</v>
      </c>
      <c r="D195" s="2">
        <v>41921</v>
      </c>
      <c r="E195" s="2">
        <v>42090</v>
      </c>
      <c r="F195" s="64" t="s">
        <v>172</v>
      </c>
      <c r="G195" s="40" t="str">
        <f>""</f>
        <v/>
      </c>
      <c r="H195" s="40" t="s">
        <v>172</v>
      </c>
      <c r="I195" s="40" t="str">
        <f>""</f>
        <v/>
      </c>
      <c r="J195" s="2"/>
    </row>
    <row r="196" spans="1:10" x14ac:dyDescent="0.25">
      <c r="A196" t="str">
        <f>"Ranstad Pty Ltd"</f>
        <v>Ranstad Pty Ltd</v>
      </c>
      <c r="B196" t="s">
        <v>52</v>
      </c>
      <c r="C196" s="1">
        <v>177942.6</v>
      </c>
      <c r="D196" s="2">
        <v>41757</v>
      </c>
      <c r="E196" s="2">
        <v>41942</v>
      </c>
      <c r="F196" s="64" t="s">
        <v>172</v>
      </c>
      <c r="G196" s="40" t="str">
        <f>""</f>
        <v/>
      </c>
      <c r="H196" s="40" t="s">
        <v>172</v>
      </c>
      <c r="I196" s="40" t="str">
        <f>""</f>
        <v/>
      </c>
      <c r="J196" s="2"/>
    </row>
    <row r="197" spans="1:10" x14ac:dyDescent="0.25">
      <c r="A197" t="str">
        <f>"Ranstad Pty Ltd"</f>
        <v>Ranstad Pty Ltd</v>
      </c>
      <c r="B197" t="s">
        <v>206</v>
      </c>
      <c r="C197" s="1">
        <v>131266.72</v>
      </c>
      <c r="D197" s="2">
        <v>41851</v>
      </c>
      <c r="E197" s="2">
        <v>41936</v>
      </c>
      <c r="F197" s="64" t="s">
        <v>172</v>
      </c>
      <c r="G197" s="40" t="str">
        <f>""</f>
        <v/>
      </c>
      <c r="H197" s="40" t="s">
        <v>172</v>
      </c>
      <c r="I197" s="40" t="str">
        <f>""</f>
        <v/>
      </c>
      <c r="J197" s="2"/>
    </row>
    <row r="198" spans="1:10" x14ac:dyDescent="0.25">
      <c r="A198" t="str">
        <f>"Ranstad Pty Ltd"</f>
        <v>Ranstad Pty Ltd</v>
      </c>
      <c r="B198" t="s">
        <v>29</v>
      </c>
      <c r="C198" s="1">
        <v>101205.32</v>
      </c>
      <c r="D198" s="2">
        <v>41687</v>
      </c>
      <c r="E198" s="2">
        <v>41810</v>
      </c>
      <c r="F198" s="64" t="s">
        <v>172</v>
      </c>
      <c r="G198" s="40" t="str">
        <f>""</f>
        <v/>
      </c>
      <c r="H198" s="40" t="s">
        <v>172</v>
      </c>
      <c r="I198" s="40" t="str">
        <f>""</f>
        <v/>
      </c>
      <c r="J198" s="2"/>
    </row>
    <row r="199" spans="1:10" x14ac:dyDescent="0.25">
      <c r="A199" t="str">
        <f>"Reading Room"</f>
        <v>Reading Room</v>
      </c>
      <c r="B199" t="s">
        <v>136</v>
      </c>
      <c r="C199" s="1">
        <v>604184.78</v>
      </c>
      <c r="D199" s="2">
        <v>41803</v>
      </c>
      <c r="E199" s="2">
        <v>42185</v>
      </c>
      <c r="F199" s="64" t="s">
        <v>172</v>
      </c>
      <c r="G199" s="40" t="str">
        <f>""</f>
        <v/>
      </c>
      <c r="H199" s="40" t="s">
        <v>172</v>
      </c>
      <c r="I199" s="40" t="str">
        <f>""</f>
        <v/>
      </c>
      <c r="J199" s="2"/>
    </row>
    <row r="200" spans="1:10" x14ac:dyDescent="0.25">
      <c r="A200" t="s">
        <v>292</v>
      </c>
      <c r="B200" t="s">
        <v>153</v>
      </c>
      <c r="C200" s="1">
        <v>466695.03</v>
      </c>
      <c r="D200" s="2">
        <v>40970</v>
      </c>
      <c r="E200" s="2">
        <v>42185</v>
      </c>
      <c r="F200" s="64" t="s">
        <v>172</v>
      </c>
      <c r="G200" s="40" t="s">
        <v>267</v>
      </c>
      <c r="H200" s="40" t="s">
        <v>172</v>
      </c>
      <c r="J200" s="2"/>
    </row>
    <row r="201" spans="1:10" x14ac:dyDescent="0.25">
      <c r="A201" t="s">
        <v>293</v>
      </c>
      <c r="B201" t="s">
        <v>91</v>
      </c>
      <c r="C201" s="1">
        <v>1553625.5</v>
      </c>
      <c r="D201" s="2">
        <v>40557</v>
      </c>
      <c r="E201" s="2">
        <v>42185</v>
      </c>
      <c r="F201" s="64" t="s">
        <v>172</v>
      </c>
      <c r="G201" s="40" t="s">
        <v>267</v>
      </c>
      <c r="H201" s="40" t="s">
        <v>172</v>
      </c>
      <c r="J201" s="2"/>
    </row>
    <row r="202" spans="1:10" x14ac:dyDescent="0.25">
      <c r="A202" t="str">
        <f>"Recordpoint Software Apac Pty Ltd"</f>
        <v>Recordpoint Software Apac Pty Ltd</v>
      </c>
      <c r="B202" t="s">
        <v>191</v>
      </c>
      <c r="C202" s="1">
        <v>884804.8</v>
      </c>
      <c r="D202" s="2">
        <v>41815</v>
      </c>
      <c r="E202" s="2">
        <v>42915</v>
      </c>
      <c r="F202" s="64" t="s">
        <v>172</v>
      </c>
      <c r="G202" s="40" t="str">
        <f>""</f>
        <v/>
      </c>
      <c r="H202" s="40" t="s">
        <v>172</v>
      </c>
      <c r="I202" s="40" t="str">
        <f>""</f>
        <v/>
      </c>
      <c r="J202" s="2"/>
    </row>
    <row r="203" spans="1:10" x14ac:dyDescent="0.25">
      <c r="A203" t="str">
        <f>"REdcore Pty Ltd"</f>
        <v>REdcore Pty Ltd</v>
      </c>
      <c r="B203" t="s">
        <v>241</v>
      </c>
      <c r="C203" s="1">
        <v>217800</v>
      </c>
      <c r="D203" s="2">
        <v>41940</v>
      </c>
      <c r="E203" s="2">
        <v>42139</v>
      </c>
      <c r="F203" s="64" t="s">
        <v>172</v>
      </c>
      <c r="G203" s="40" t="str">
        <f>""</f>
        <v/>
      </c>
      <c r="H203" s="40" t="s">
        <v>172</v>
      </c>
      <c r="I203" s="40" t="str">
        <f>""</f>
        <v/>
      </c>
      <c r="J203" s="2"/>
    </row>
    <row r="204" spans="1:10" x14ac:dyDescent="0.25">
      <c r="A204" t="str">
        <f>"Remasys Pty Ltd"</f>
        <v>Remasys Pty Ltd</v>
      </c>
      <c r="B204" t="s">
        <v>250</v>
      </c>
      <c r="C204" s="1">
        <v>331227.59999999998</v>
      </c>
      <c r="D204" s="2">
        <v>41954</v>
      </c>
      <c r="E204" s="2">
        <v>43051</v>
      </c>
      <c r="F204" s="64" t="s">
        <v>172</v>
      </c>
      <c r="G204" s="40" t="str">
        <f>""</f>
        <v/>
      </c>
      <c r="H204" s="40" t="s">
        <v>172</v>
      </c>
      <c r="I204" s="40" t="str">
        <f>""</f>
        <v/>
      </c>
      <c r="J204" s="2"/>
    </row>
    <row r="205" spans="1:10" x14ac:dyDescent="0.25">
      <c r="A205" t="str">
        <f>"Remasys Pty Ltd"</f>
        <v>Remasys Pty Ltd</v>
      </c>
      <c r="B205" t="s">
        <v>65</v>
      </c>
      <c r="C205" s="1">
        <v>361944</v>
      </c>
      <c r="D205" s="2">
        <v>41758</v>
      </c>
      <c r="E205" s="2">
        <v>42934</v>
      </c>
      <c r="F205" s="64" t="s">
        <v>172</v>
      </c>
      <c r="G205" s="40" t="str">
        <f>""</f>
        <v/>
      </c>
      <c r="H205" s="40" t="s">
        <v>172</v>
      </c>
      <c r="I205" s="40" t="str">
        <f>""</f>
        <v/>
      </c>
      <c r="J205" s="2"/>
    </row>
    <row r="206" spans="1:10" x14ac:dyDescent="0.25">
      <c r="A206" t="s">
        <v>294</v>
      </c>
      <c r="B206" t="s">
        <v>134</v>
      </c>
      <c r="C206" s="1">
        <v>305888</v>
      </c>
      <c r="D206" s="2">
        <v>41800</v>
      </c>
      <c r="E206" s="2">
        <v>42165</v>
      </c>
      <c r="F206" s="64" t="s">
        <v>172</v>
      </c>
      <c r="G206" s="40" t="s">
        <v>267</v>
      </c>
      <c r="H206" s="40" t="s">
        <v>172</v>
      </c>
      <c r="J206" s="2"/>
    </row>
    <row r="207" spans="1:10" x14ac:dyDescent="0.25">
      <c r="A207" t="str">
        <f>"Reserve Bank of Australia"</f>
        <v>Reserve Bank of Australia</v>
      </c>
      <c r="B207" t="s">
        <v>299</v>
      </c>
      <c r="C207" s="2">
        <v>39301</v>
      </c>
      <c r="D207" s="2">
        <v>42588</v>
      </c>
      <c r="E207" s="1">
        <v>15711198</v>
      </c>
      <c r="F207" s="64" t="s">
        <v>172</v>
      </c>
      <c r="G207" s="40" t="str">
        <f>""</f>
        <v/>
      </c>
      <c r="H207" s="40" t="s">
        <v>172</v>
      </c>
      <c r="I207" s="40" t="str">
        <f>""</f>
        <v/>
      </c>
      <c r="J207" s="2"/>
    </row>
    <row r="208" spans="1:10" x14ac:dyDescent="0.25">
      <c r="A208" t="str">
        <f>"Revolution IT Pty Ltd"</f>
        <v>Revolution IT Pty Ltd</v>
      </c>
      <c r="B208" t="s">
        <v>263</v>
      </c>
      <c r="C208" s="1">
        <v>102850</v>
      </c>
      <c r="D208" s="2">
        <v>41990</v>
      </c>
      <c r="E208" s="2">
        <v>42167</v>
      </c>
      <c r="F208" s="64" t="s">
        <v>172</v>
      </c>
      <c r="G208" s="40" t="str">
        <f>""</f>
        <v/>
      </c>
      <c r="H208" s="40" t="s">
        <v>172</v>
      </c>
      <c r="I208" s="40" t="str">
        <f>""</f>
        <v/>
      </c>
      <c r="J208" s="2"/>
    </row>
    <row r="209" spans="1:10" x14ac:dyDescent="0.25">
      <c r="A209" t="str">
        <f>"Revolution IT Pty Ltd"</f>
        <v>Revolution IT Pty Ltd</v>
      </c>
      <c r="B209" t="s">
        <v>264</v>
      </c>
      <c r="C209" s="1">
        <v>112530</v>
      </c>
      <c r="D209" s="2">
        <v>41995</v>
      </c>
      <c r="E209" s="2">
        <v>42167</v>
      </c>
      <c r="F209" s="64" t="s">
        <v>172</v>
      </c>
      <c r="G209" s="40" t="str">
        <f>""</f>
        <v/>
      </c>
      <c r="H209" s="40" t="s">
        <v>172</v>
      </c>
      <c r="I209" s="40" t="str">
        <f>""</f>
        <v/>
      </c>
      <c r="J209" s="2"/>
    </row>
    <row r="210" spans="1:10" x14ac:dyDescent="0.25">
      <c r="A210" t="str">
        <f>"SAP Australia Pty Ltd"</f>
        <v>SAP Australia Pty Ltd</v>
      </c>
      <c r="B210" t="s">
        <v>219</v>
      </c>
      <c r="C210" s="1">
        <v>121530.2</v>
      </c>
      <c r="D210" s="2">
        <v>41883</v>
      </c>
      <c r="E210" s="2">
        <v>42247</v>
      </c>
      <c r="F210" s="64" t="s">
        <v>172</v>
      </c>
      <c r="G210" s="40" t="str">
        <f>""</f>
        <v/>
      </c>
      <c r="H210" s="40" t="s">
        <v>172</v>
      </c>
      <c r="I210" s="40" t="str">
        <f>""</f>
        <v/>
      </c>
      <c r="J210" s="2"/>
    </row>
    <row r="211" spans="1:10" x14ac:dyDescent="0.25">
      <c r="A211" t="str">
        <f>"SAS Institute Australia Pty Limited"</f>
        <v>SAS Institute Australia Pty Limited</v>
      </c>
      <c r="B211" t="s">
        <v>133</v>
      </c>
      <c r="C211" s="1">
        <v>2591190.02</v>
      </c>
      <c r="D211" s="2">
        <v>41816</v>
      </c>
      <c r="E211" s="2">
        <v>43645</v>
      </c>
      <c r="F211" s="64" t="s">
        <v>157</v>
      </c>
      <c r="G211" s="40">
        <v>2</v>
      </c>
      <c r="H211" s="40" t="s">
        <v>157</v>
      </c>
      <c r="I211" s="40">
        <v>3</v>
      </c>
      <c r="J211" s="2"/>
    </row>
    <row r="212" spans="1:10" x14ac:dyDescent="0.25">
      <c r="A212" t="str">
        <f>"SAS Institute Australia Pty Limited"</f>
        <v>SAS Institute Australia Pty Limited</v>
      </c>
      <c r="B212" t="s">
        <v>238</v>
      </c>
      <c r="C212" s="1">
        <v>2478300</v>
      </c>
      <c r="D212" s="2">
        <v>41946</v>
      </c>
      <c r="E212" s="2">
        <v>42368</v>
      </c>
      <c r="F212" s="64" t="s">
        <v>172</v>
      </c>
      <c r="G212" s="40" t="str">
        <f>""</f>
        <v/>
      </c>
      <c r="H212" s="40" t="s">
        <v>172</v>
      </c>
      <c r="I212" s="40" t="str">
        <f>""</f>
        <v/>
      </c>
      <c r="J212" s="2"/>
    </row>
    <row r="213" spans="1:10" x14ac:dyDescent="0.25">
      <c r="A213" t="str">
        <f>"Schneider Electric IT Australia Pty Ltd"</f>
        <v>Schneider Electric IT Australia Pty Ltd</v>
      </c>
      <c r="B213" t="s">
        <v>11</v>
      </c>
      <c r="C213" s="1">
        <v>229123.92</v>
      </c>
      <c r="D213" s="2">
        <v>41591</v>
      </c>
      <c r="E213" s="55">
        <v>42686</v>
      </c>
      <c r="F213" s="64" t="s">
        <v>172</v>
      </c>
      <c r="G213" s="40" t="str">
        <f>""</f>
        <v/>
      </c>
      <c r="H213" s="40" t="s">
        <v>172</v>
      </c>
      <c r="J213" s="2"/>
    </row>
    <row r="214" spans="1:10" x14ac:dyDescent="0.25">
      <c r="A214" t="str">
        <f>"Shearwater Solutions Pty Ltd"</f>
        <v>Shearwater Solutions Pty Ltd</v>
      </c>
      <c r="B214" t="s">
        <v>45</v>
      </c>
      <c r="C214" s="1">
        <v>499301</v>
      </c>
      <c r="D214" s="2">
        <v>41733</v>
      </c>
      <c r="E214" s="2">
        <v>42828</v>
      </c>
      <c r="F214" s="64" t="s">
        <v>172</v>
      </c>
      <c r="G214" s="40" t="str">
        <f>""</f>
        <v/>
      </c>
      <c r="H214" s="40" t="s">
        <v>172</v>
      </c>
      <c r="I214" s="40" t="str">
        <f>""</f>
        <v/>
      </c>
      <c r="J214" s="2"/>
    </row>
    <row r="215" spans="1:10" x14ac:dyDescent="0.25">
      <c r="A215" t="str">
        <f>"Shredlock Australia Pty Ltd"</f>
        <v>Shredlock Australia Pty Ltd</v>
      </c>
      <c r="B215" t="s">
        <v>13</v>
      </c>
      <c r="C215" s="1">
        <v>121392</v>
      </c>
      <c r="D215" s="2">
        <v>41583</v>
      </c>
      <c r="E215" s="2">
        <v>42678</v>
      </c>
      <c r="F215" s="64" t="s">
        <v>172</v>
      </c>
      <c r="G215" s="40" t="str">
        <f>""</f>
        <v/>
      </c>
      <c r="H215" s="40" t="s">
        <v>172</v>
      </c>
      <c r="J215" s="2"/>
    </row>
    <row r="216" spans="1:10" x14ac:dyDescent="0.25">
      <c r="A216" t="str">
        <f>"Slade Group"</f>
        <v>Slade Group</v>
      </c>
      <c r="B216" t="s">
        <v>30</v>
      </c>
      <c r="C216" s="1">
        <v>145087.25</v>
      </c>
      <c r="D216" s="2">
        <v>41708</v>
      </c>
      <c r="E216" s="2">
        <v>41891</v>
      </c>
      <c r="F216" s="64" t="s">
        <v>172</v>
      </c>
      <c r="G216" s="40" t="str">
        <f>""</f>
        <v/>
      </c>
      <c r="H216" s="40" t="s">
        <v>172</v>
      </c>
      <c r="I216" s="40" t="str">
        <f>""</f>
        <v/>
      </c>
      <c r="J216" s="2"/>
    </row>
    <row r="217" spans="1:10" x14ac:dyDescent="0.25">
      <c r="A217" t="str">
        <f>"Software AG (Australia) Pty Ltd"</f>
        <v>Software AG (Australia) Pty Ltd</v>
      </c>
      <c r="B217" t="s">
        <v>7</v>
      </c>
      <c r="C217" s="1">
        <v>2458117.2000000002</v>
      </c>
      <c r="D217" s="2">
        <v>41518</v>
      </c>
      <c r="E217" s="2">
        <v>42613</v>
      </c>
      <c r="F217" s="64" t="s">
        <v>172</v>
      </c>
      <c r="G217" s="40" t="str">
        <f>""</f>
        <v/>
      </c>
      <c r="H217" s="40" t="s">
        <v>172</v>
      </c>
      <c r="J217" s="2"/>
    </row>
    <row r="218" spans="1:10" x14ac:dyDescent="0.25">
      <c r="A218" t="str">
        <f>"Soul Pattinson Telecommunications Pty"</f>
        <v>Soul Pattinson Telecommunications Pty</v>
      </c>
      <c r="B218" t="s">
        <v>115</v>
      </c>
      <c r="C218" s="1">
        <v>671976.8</v>
      </c>
      <c r="D218" s="2">
        <v>41334</v>
      </c>
      <c r="E218" s="2">
        <v>42429</v>
      </c>
      <c r="F218" s="64" t="s">
        <v>172</v>
      </c>
      <c r="G218" s="40" t="str">
        <f>""</f>
        <v/>
      </c>
      <c r="H218" s="40" t="s">
        <v>172</v>
      </c>
      <c r="J218" s="2"/>
    </row>
    <row r="219" spans="1:10" x14ac:dyDescent="0.25">
      <c r="A219" t="s">
        <v>295</v>
      </c>
      <c r="B219" t="s">
        <v>103</v>
      </c>
      <c r="C219" s="1">
        <v>1200000</v>
      </c>
      <c r="D219" s="2">
        <v>41216</v>
      </c>
      <c r="E219" s="2">
        <v>42070</v>
      </c>
      <c r="F219" s="64" t="s">
        <v>172</v>
      </c>
      <c r="G219" s="40" t="s">
        <v>267</v>
      </c>
      <c r="H219" s="40" t="s">
        <v>172</v>
      </c>
      <c r="J219" s="2"/>
    </row>
    <row r="220" spans="1:10" x14ac:dyDescent="0.25">
      <c r="A220" t="str">
        <f>"Steven Forrest"</f>
        <v>Steven Forrest</v>
      </c>
      <c r="B220" t="s">
        <v>183</v>
      </c>
      <c r="C220" s="1">
        <v>110000</v>
      </c>
      <c r="D220" s="2">
        <v>41704</v>
      </c>
      <c r="E220" s="2">
        <v>42185</v>
      </c>
      <c r="F220" s="64" t="s">
        <v>172</v>
      </c>
      <c r="G220" s="40">
        <v>5</v>
      </c>
      <c r="H220" s="40" t="s">
        <v>157</v>
      </c>
      <c r="I220" s="40">
        <v>5</v>
      </c>
      <c r="J220" s="2"/>
    </row>
    <row r="221" spans="1:10" x14ac:dyDescent="0.25">
      <c r="A221" t="s">
        <v>296</v>
      </c>
      <c r="B221" t="s">
        <v>152</v>
      </c>
      <c r="C221" s="1">
        <v>369026</v>
      </c>
      <c r="D221" s="2">
        <v>40941</v>
      </c>
      <c r="E221" s="2">
        <v>42185</v>
      </c>
      <c r="F221" s="64" t="s">
        <v>172</v>
      </c>
      <c r="H221" s="40" t="s">
        <v>172</v>
      </c>
      <c r="J221" s="2"/>
    </row>
    <row r="222" spans="1:10" x14ac:dyDescent="0.25">
      <c r="A222" t="str">
        <f>"Stocken Consulting Pty Ltd"</f>
        <v>Stocken Consulting Pty Ltd</v>
      </c>
      <c r="B222" t="s">
        <v>221</v>
      </c>
      <c r="C222" s="1">
        <v>130000</v>
      </c>
      <c r="D222" s="2">
        <v>41883</v>
      </c>
      <c r="E222" s="2">
        <v>42185</v>
      </c>
      <c r="F222" s="64" t="s">
        <v>157</v>
      </c>
      <c r="G222" s="40">
        <v>4</v>
      </c>
      <c r="H222" s="40" t="s">
        <v>157</v>
      </c>
      <c r="I222" s="40">
        <v>4</v>
      </c>
      <c r="J222" s="2"/>
    </row>
    <row r="223" spans="1:10" x14ac:dyDescent="0.25">
      <c r="A223" t="str">
        <f>"Symmetra Pty Ltd"</f>
        <v>Symmetra Pty Ltd</v>
      </c>
      <c r="B223" t="s">
        <v>66</v>
      </c>
      <c r="C223" s="1">
        <v>145480</v>
      </c>
      <c r="D223" s="2">
        <v>41766</v>
      </c>
      <c r="E223" s="2">
        <v>41766</v>
      </c>
      <c r="F223" s="64" t="s">
        <v>172</v>
      </c>
      <c r="G223" s="40" t="str">
        <f>""</f>
        <v/>
      </c>
      <c r="H223" s="40" t="s">
        <v>172</v>
      </c>
      <c r="I223" s="40" t="str">
        <f>""</f>
        <v/>
      </c>
      <c r="J223" s="2"/>
    </row>
    <row r="224" spans="1:10" x14ac:dyDescent="0.25">
      <c r="A224" t="str">
        <f>"Talent International (NSW) Pty Ltd"</f>
        <v>Talent International (NSW) Pty Ltd</v>
      </c>
      <c r="B224" t="s">
        <v>226</v>
      </c>
      <c r="C224" s="1">
        <v>162010.20000000001</v>
      </c>
      <c r="D224" s="2">
        <v>41904</v>
      </c>
      <c r="E224" s="2">
        <v>42088</v>
      </c>
      <c r="F224" s="64" t="s">
        <v>172</v>
      </c>
      <c r="G224" s="40" t="str">
        <f>""</f>
        <v/>
      </c>
      <c r="H224" s="40" t="s">
        <v>172</v>
      </c>
      <c r="I224" s="40" t="str">
        <f>""</f>
        <v/>
      </c>
      <c r="J224" s="2"/>
    </row>
    <row r="225" spans="1:10" x14ac:dyDescent="0.25">
      <c r="A225" t="str">
        <f>"Talent International (NSW) Pty Ltd"</f>
        <v>Talent International (NSW) Pty Ltd</v>
      </c>
      <c r="B225" t="s">
        <v>235</v>
      </c>
      <c r="C225" s="1">
        <v>144957.12</v>
      </c>
      <c r="D225" s="2">
        <v>41913</v>
      </c>
      <c r="E225" s="2">
        <v>42111</v>
      </c>
      <c r="F225" s="64" t="s">
        <v>172</v>
      </c>
      <c r="G225" s="40" t="str">
        <f>""</f>
        <v/>
      </c>
      <c r="H225" s="40" t="s">
        <v>172</v>
      </c>
      <c r="I225" s="40" t="str">
        <f>""</f>
        <v/>
      </c>
      <c r="J225" s="2"/>
    </row>
    <row r="226" spans="1:10" x14ac:dyDescent="0.25">
      <c r="A226" t="str">
        <f>"Telco Asset Management Australia Pty Ltd"</f>
        <v>Telco Asset Management Australia Pty Ltd</v>
      </c>
      <c r="B226" t="s">
        <v>97</v>
      </c>
      <c r="C226" s="1">
        <v>1936839.21</v>
      </c>
      <c r="D226" s="2">
        <v>40969</v>
      </c>
      <c r="E226" s="2">
        <v>42735</v>
      </c>
      <c r="F226" s="64" t="s">
        <v>172</v>
      </c>
      <c r="G226" s="40" t="str">
        <f>""</f>
        <v/>
      </c>
      <c r="H226" s="40" t="s">
        <v>172</v>
      </c>
    </row>
    <row r="227" spans="1:10" x14ac:dyDescent="0.25">
      <c r="A227" t="str">
        <f>"Telstra Corporation Limited"</f>
        <v>Telstra Corporation Limited</v>
      </c>
      <c r="B227" t="s">
        <v>110</v>
      </c>
      <c r="C227" s="1">
        <v>2615422.5299999998</v>
      </c>
      <c r="D227" s="2">
        <v>41275</v>
      </c>
      <c r="E227" s="2">
        <v>42551</v>
      </c>
      <c r="F227" s="64" t="s">
        <v>172</v>
      </c>
      <c r="G227" s="40" t="str">
        <f>""</f>
        <v/>
      </c>
      <c r="H227" s="40" t="s">
        <v>172</v>
      </c>
    </row>
    <row r="228" spans="1:10" x14ac:dyDescent="0.25">
      <c r="A228" t="s">
        <v>297</v>
      </c>
      <c r="B228" t="s">
        <v>112</v>
      </c>
      <c r="C228" s="1">
        <v>2085123</v>
      </c>
      <c r="D228" s="2">
        <v>41426</v>
      </c>
      <c r="E228" s="2">
        <v>42185</v>
      </c>
      <c r="F228" s="64" t="s">
        <v>172</v>
      </c>
      <c r="G228" s="40" t="s">
        <v>267</v>
      </c>
      <c r="H228" s="40" t="s">
        <v>172</v>
      </c>
    </row>
    <row r="229" spans="1:10" x14ac:dyDescent="0.25">
      <c r="A229" t="str">
        <f>"Thomson Reuters (Professional) Australia"</f>
        <v>Thomson Reuters (Professional) Australia</v>
      </c>
      <c r="B229" t="s">
        <v>78</v>
      </c>
      <c r="C229" s="1">
        <v>730592.77</v>
      </c>
      <c r="D229" s="2">
        <v>41795</v>
      </c>
      <c r="E229" s="2">
        <v>42551</v>
      </c>
      <c r="F229" s="64" t="s">
        <v>172</v>
      </c>
      <c r="G229" s="40" t="str">
        <f>""</f>
        <v/>
      </c>
      <c r="H229" s="40" t="s">
        <v>172</v>
      </c>
      <c r="J229" s="2"/>
    </row>
    <row r="230" spans="1:10" x14ac:dyDescent="0.25">
      <c r="A230" t="str">
        <f>"Thonson Reuters (Professional) Aust"</f>
        <v>Thonson Reuters (Professional) Aust</v>
      </c>
      <c r="B230" t="s">
        <v>201</v>
      </c>
      <c r="C230" s="1">
        <v>106391.91</v>
      </c>
      <c r="D230" s="2">
        <v>41820</v>
      </c>
      <c r="E230" s="2">
        <v>42185</v>
      </c>
      <c r="F230" s="64" t="s">
        <v>172</v>
      </c>
      <c r="G230" s="40" t="str">
        <f>""</f>
        <v/>
      </c>
      <c r="H230" s="40" t="s">
        <v>172</v>
      </c>
      <c r="I230" s="40" t="str">
        <f>""</f>
        <v/>
      </c>
    </row>
    <row r="231" spans="1:10" x14ac:dyDescent="0.25">
      <c r="A231" t="str">
        <f>"Toll Transport Pty Ltd"</f>
        <v>Toll Transport Pty Ltd</v>
      </c>
      <c r="B231" t="s">
        <v>5</v>
      </c>
      <c r="C231" s="1">
        <v>1950000</v>
      </c>
      <c r="D231" s="2">
        <v>41544</v>
      </c>
      <c r="E231" s="2">
        <v>42639</v>
      </c>
      <c r="F231" s="64" t="s">
        <v>172</v>
      </c>
      <c r="G231" s="40" t="str">
        <f>""</f>
        <v/>
      </c>
      <c r="H231" s="40" t="s">
        <v>172</v>
      </c>
    </row>
    <row r="232" spans="1:10" x14ac:dyDescent="0.25">
      <c r="A232" t="str">
        <f>"Towers Watson Australia Pty Ltd"</f>
        <v>Towers Watson Australia Pty Ltd</v>
      </c>
      <c r="B232" t="s">
        <v>132</v>
      </c>
      <c r="C232" s="1">
        <v>140000</v>
      </c>
      <c r="D232" s="2">
        <v>41814</v>
      </c>
      <c r="E232" s="2">
        <v>42909</v>
      </c>
      <c r="F232" s="64" t="s">
        <v>172</v>
      </c>
      <c r="G232" s="40" t="str">
        <f>""</f>
        <v/>
      </c>
      <c r="H232" s="40" t="s">
        <v>172</v>
      </c>
      <c r="I232" s="40" t="str">
        <f>""</f>
        <v/>
      </c>
    </row>
    <row r="233" spans="1:10" x14ac:dyDescent="0.25">
      <c r="A233" t="str">
        <f>"Towers Watson Australia Pty Ltd"</f>
        <v>Towers Watson Australia Pty Ltd</v>
      </c>
      <c r="B233" t="s">
        <v>68</v>
      </c>
      <c r="C233" s="1">
        <v>523710</v>
      </c>
      <c r="D233" s="2">
        <v>41762</v>
      </c>
      <c r="E233" s="2">
        <v>41820</v>
      </c>
      <c r="F233" s="64" t="s">
        <v>172</v>
      </c>
      <c r="G233" s="40" t="str">
        <f>""</f>
        <v/>
      </c>
      <c r="H233" s="40" t="s">
        <v>172</v>
      </c>
      <c r="I233" s="40" t="str">
        <f>""</f>
        <v/>
      </c>
      <c r="J233" s="2"/>
    </row>
    <row r="234" spans="1:10" x14ac:dyDescent="0.25">
      <c r="A234" t="str">
        <f>"Universal McCann"</f>
        <v>Universal McCann</v>
      </c>
      <c r="B234" t="s">
        <v>64</v>
      </c>
      <c r="C234" s="1">
        <v>1080000</v>
      </c>
      <c r="D234" s="2">
        <v>41774</v>
      </c>
      <c r="E234" s="2">
        <v>41820</v>
      </c>
      <c r="F234" s="64" t="s">
        <v>172</v>
      </c>
      <c r="G234" s="40" t="str">
        <f>""</f>
        <v/>
      </c>
      <c r="H234" s="40" t="s">
        <v>172</v>
      </c>
      <c r="I234" s="40" t="str">
        <f>""</f>
        <v/>
      </c>
      <c r="J234" s="2"/>
    </row>
    <row r="235" spans="1:10" x14ac:dyDescent="0.25">
      <c r="A235" t="str">
        <f>"UXC Connect Pty Ltd"</f>
        <v>UXC Connect Pty Ltd</v>
      </c>
      <c r="B235" t="s">
        <v>141</v>
      </c>
      <c r="C235" s="1">
        <v>132000</v>
      </c>
      <c r="D235" s="2">
        <v>41810</v>
      </c>
      <c r="E235" s="2">
        <v>42908</v>
      </c>
      <c r="F235" s="64" t="s">
        <v>172</v>
      </c>
      <c r="G235" s="40" t="str">
        <f>""</f>
        <v/>
      </c>
      <c r="H235" s="40" t="s">
        <v>172</v>
      </c>
      <c r="I235" s="40" t="str">
        <f>""</f>
        <v/>
      </c>
      <c r="J235" s="2"/>
    </row>
    <row r="236" spans="1:10" x14ac:dyDescent="0.25">
      <c r="A236" t="str">
        <f>"UXC Limited"</f>
        <v>UXC Limited</v>
      </c>
      <c r="B236" t="s">
        <v>229</v>
      </c>
      <c r="C236" s="1">
        <v>266530</v>
      </c>
      <c r="D236" s="2">
        <v>41900</v>
      </c>
      <c r="E236" s="2">
        <v>42094</v>
      </c>
      <c r="F236" s="64" t="s">
        <v>172</v>
      </c>
      <c r="G236" s="40" t="str">
        <f>""</f>
        <v/>
      </c>
      <c r="H236" s="40" t="s">
        <v>172</v>
      </c>
      <c r="I236" s="40" t="str">
        <f>""</f>
        <v/>
      </c>
      <c r="J236" s="2"/>
    </row>
    <row r="237" spans="1:10" x14ac:dyDescent="0.25">
      <c r="A237" t="str">
        <f>"UXC Limited"</f>
        <v>UXC Limited</v>
      </c>
      <c r="B237" t="s">
        <v>55</v>
      </c>
      <c r="C237" s="1">
        <v>126390</v>
      </c>
      <c r="D237" s="2">
        <v>41751</v>
      </c>
      <c r="E237" s="2">
        <v>41823</v>
      </c>
      <c r="F237" s="64" t="s">
        <v>172</v>
      </c>
      <c r="G237" s="40" t="str">
        <f>""</f>
        <v/>
      </c>
      <c r="H237" s="40" t="s">
        <v>172</v>
      </c>
      <c r="I237" s="40" t="str">
        <f>""</f>
        <v/>
      </c>
      <c r="J237" s="2"/>
    </row>
    <row r="238" spans="1:10" x14ac:dyDescent="0.25">
      <c r="A238" t="str">
        <f>"VMWare International Ltd"</f>
        <v>VMWare International Ltd</v>
      </c>
      <c r="B238" t="s">
        <v>154</v>
      </c>
      <c r="C238" s="1">
        <v>2910692.9</v>
      </c>
      <c r="D238" s="2">
        <v>41080</v>
      </c>
      <c r="E238" s="2">
        <v>42910</v>
      </c>
      <c r="F238" s="64" t="s">
        <v>172</v>
      </c>
      <c r="H238" s="40" t="s">
        <v>172</v>
      </c>
      <c r="J238" s="2"/>
    </row>
    <row r="239" spans="1:10" x14ac:dyDescent="0.25">
      <c r="A239" t="s">
        <v>298</v>
      </c>
      <c r="B239" t="s">
        <v>95</v>
      </c>
      <c r="C239" s="1">
        <v>220000</v>
      </c>
      <c r="D239" s="2">
        <v>40941</v>
      </c>
      <c r="E239" s="2">
        <v>42185</v>
      </c>
      <c r="F239" s="64" t="s">
        <v>172</v>
      </c>
      <c r="G239" s="40" t="s">
        <v>267</v>
      </c>
      <c r="H239" s="40" t="s">
        <v>172</v>
      </c>
      <c r="J239" s="2"/>
    </row>
    <row r="240" spans="1:10" x14ac:dyDescent="0.25">
      <c r="A240" t="str">
        <f>"Xentropy Pty Ltd"</f>
        <v>Xentropy Pty Ltd</v>
      </c>
      <c r="B240" t="s">
        <v>180</v>
      </c>
      <c r="C240" s="1">
        <v>104700</v>
      </c>
      <c r="D240" s="2">
        <v>41687</v>
      </c>
      <c r="E240" s="2">
        <v>41820</v>
      </c>
      <c r="F240" s="64" t="s">
        <v>172</v>
      </c>
      <c r="G240" s="57"/>
      <c r="H240" s="64" t="s">
        <v>172</v>
      </c>
      <c r="J240" s="2"/>
    </row>
    <row r="241" spans="1:10" x14ac:dyDescent="0.25">
      <c r="A241" t="str">
        <f>"Zenith Interiors Pty Ltd"</f>
        <v>Zenith Interiors Pty Ltd</v>
      </c>
      <c r="B241" t="s">
        <v>24</v>
      </c>
      <c r="C241" s="1">
        <v>1821485.4</v>
      </c>
      <c r="D241" s="2">
        <v>41669</v>
      </c>
      <c r="E241" s="2">
        <v>41820</v>
      </c>
      <c r="F241" s="64" t="s">
        <v>172</v>
      </c>
      <c r="G241" s="40" t="str">
        <f>""</f>
        <v/>
      </c>
      <c r="H241" s="40" t="s">
        <v>172</v>
      </c>
      <c r="I241" s="40" t="str">
        <f>""</f>
        <v/>
      </c>
    </row>
    <row r="242" spans="1:10" x14ac:dyDescent="0.25">
      <c r="C242" s="1"/>
      <c r="D242" s="2"/>
      <c r="E242" s="2"/>
      <c r="J242" s="2"/>
    </row>
    <row r="243" spans="1:10" x14ac:dyDescent="0.25">
      <c r="C243" s="1"/>
      <c r="D243" s="2"/>
      <c r="E243" s="2"/>
      <c r="J243" s="2"/>
    </row>
    <row r="244" spans="1:10" x14ac:dyDescent="0.25">
      <c r="C244" s="1"/>
      <c r="D244" s="2"/>
      <c r="E244" s="2"/>
      <c r="J244" s="2"/>
    </row>
    <row r="245" spans="1:10" x14ac:dyDescent="0.25">
      <c r="C245" s="1"/>
      <c r="D245" s="2"/>
      <c r="E245" s="2"/>
    </row>
    <row r="246" spans="1:10" x14ac:dyDescent="0.25">
      <c r="C246" s="1"/>
      <c r="D246" s="2"/>
      <c r="E246" s="2"/>
    </row>
    <row r="249" spans="1:10" s="42" customFormat="1" ht="50.1" customHeight="1" x14ac:dyDescent="0.25">
      <c r="A249"/>
      <c r="B249"/>
      <c r="C249"/>
      <c r="D249"/>
      <c r="E249"/>
      <c r="F249" s="40"/>
      <c r="G249" s="40"/>
      <c r="H249" s="43"/>
      <c r="I249" s="43"/>
      <c r="J249" s="44"/>
    </row>
    <row r="250" spans="1:10" s="42" customFormat="1" ht="50.1" customHeight="1" x14ac:dyDescent="0.25">
      <c r="A250" s="38" t="s">
        <v>160</v>
      </c>
      <c r="B250" s="41" t="s">
        <v>161</v>
      </c>
      <c r="F250" s="43"/>
      <c r="G250" s="43"/>
      <c r="H250" s="43"/>
      <c r="I250" s="43"/>
      <c r="J250" s="44"/>
    </row>
    <row r="251" spans="1:10" s="42" customFormat="1" ht="50.1" customHeight="1" x14ac:dyDescent="0.25">
      <c r="A251" s="39" t="s">
        <v>162</v>
      </c>
      <c r="B251" s="45"/>
      <c r="F251" s="43"/>
      <c r="G251" s="43"/>
      <c r="H251" s="43"/>
      <c r="I251" s="43"/>
      <c r="J251" s="44"/>
    </row>
    <row r="252" spans="1:10" s="42" customFormat="1" ht="50.1" customHeight="1" x14ac:dyDescent="0.25">
      <c r="A252" s="39">
        <v>1</v>
      </c>
      <c r="B252" s="45" t="s">
        <v>163</v>
      </c>
      <c r="F252" s="43"/>
      <c r="G252" s="43"/>
      <c r="H252" s="43"/>
      <c r="I252" s="43"/>
      <c r="J252" s="44"/>
    </row>
    <row r="253" spans="1:10" s="42" customFormat="1" ht="50.1" customHeight="1" x14ac:dyDescent="0.25">
      <c r="A253" s="39">
        <v>2</v>
      </c>
      <c r="B253" s="45" t="s">
        <v>164</v>
      </c>
      <c r="F253" s="43"/>
      <c r="G253" s="43"/>
      <c r="H253" s="43"/>
      <c r="I253" s="43"/>
      <c r="J253" s="44"/>
    </row>
    <row r="254" spans="1:10" s="42" customFormat="1" ht="50.1" customHeight="1" x14ac:dyDescent="0.25">
      <c r="A254" s="39">
        <v>3</v>
      </c>
      <c r="B254" s="45" t="s">
        <v>165</v>
      </c>
      <c r="F254" s="43"/>
      <c r="G254" s="43"/>
      <c r="H254" s="43"/>
      <c r="I254" s="43"/>
      <c r="J254" s="44"/>
    </row>
    <row r="255" spans="1:10" s="42" customFormat="1" ht="50.1" customHeight="1" x14ac:dyDescent="0.25">
      <c r="A255" s="39">
        <v>4</v>
      </c>
      <c r="B255" s="45" t="s">
        <v>166</v>
      </c>
      <c r="F255" s="43"/>
      <c r="G255" s="43"/>
      <c r="H255" s="43"/>
      <c r="I255" s="43"/>
      <c r="J255" s="44"/>
    </row>
    <row r="256" spans="1:10" s="42" customFormat="1" ht="50.1" customHeight="1" x14ac:dyDescent="0.25">
      <c r="A256" s="39">
        <v>5</v>
      </c>
      <c r="B256" s="45" t="s">
        <v>167</v>
      </c>
      <c r="F256" s="43"/>
      <c r="G256" s="43"/>
      <c r="H256" s="43"/>
      <c r="I256" s="43"/>
      <c r="J256" s="44"/>
    </row>
    <row r="257" spans="1:8" x14ac:dyDescent="0.25">
      <c r="A257" s="39">
        <v>6</v>
      </c>
      <c r="B257" s="45" t="s">
        <v>168</v>
      </c>
      <c r="C257" s="42"/>
      <c r="D257" s="42"/>
      <c r="E257" s="42"/>
      <c r="F257" s="43"/>
      <c r="G257" s="43"/>
      <c r="H257"/>
    </row>
    <row r="258" spans="1:8" x14ac:dyDescent="0.25">
      <c r="F258"/>
      <c r="H258"/>
    </row>
    <row r="259" spans="1:8" ht="50.1" customHeight="1" x14ac:dyDescent="0.25">
      <c r="F259"/>
    </row>
    <row r="260" spans="1:8" x14ac:dyDescent="0.25">
      <c r="A260" s="60" t="s">
        <v>173</v>
      </c>
      <c r="B260" s="61"/>
      <c r="C260" s="61"/>
      <c r="D260" s="61"/>
      <c r="E260" s="61"/>
      <c r="F260" s="62"/>
    </row>
    <row r="261" spans="1:8" x14ac:dyDescent="0.25">
      <c r="C261" s="1"/>
      <c r="D261" s="2"/>
      <c r="E261" s="2"/>
    </row>
    <row r="262" spans="1:8" x14ac:dyDescent="0.25">
      <c r="C262" s="1"/>
      <c r="D262" s="2"/>
      <c r="E262" s="2"/>
    </row>
    <row r="263" spans="1:8" x14ac:dyDescent="0.25">
      <c r="C263" s="1"/>
      <c r="D263" s="2"/>
      <c r="E263" s="2"/>
    </row>
    <row r="264" spans="1:8" x14ac:dyDescent="0.25">
      <c r="C264" s="1"/>
      <c r="D264" s="2"/>
      <c r="E264" s="2"/>
    </row>
    <row r="265" spans="1:8" x14ac:dyDescent="0.25">
      <c r="C265" s="1"/>
      <c r="D265" s="2"/>
      <c r="E265" s="2"/>
    </row>
    <row r="266" spans="1:8" x14ac:dyDescent="0.25">
      <c r="C266" s="1"/>
      <c r="D266" s="2"/>
      <c r="E266" s="2"/>
    </row>
    <row r="267" spans="1:8" x14ac:dyDescent="0.25">
      <c r="C267" s="1"/>
      <c r="D267" s="2"/>
      <c r="E267" s="2"/>
    </row>
    <row r="268" spans="1:8" x14ac:dyDescent="0.25">
      <c r="C268" s="1"/>
      <c r="D268" s="2"/>
      <c r="E268" s="2"/>
    </row>
    <row r="269" spans="1:8" x14ac:dyDescent="0.25">
      <c r="C269" s="1"/>
      <c r="D269" s="2"/>
      <c r="E269" s="2"/>
    </row>
    <row r="270" spans="1:8" x14ac:dyDescent="0.25">
      <c r="C270" s="1"/>
      <c r="D270" s="2"/>
      <c r="E270" s="2"/>
    </row>
    <row r="271" spans="1:8" x14ac:dyDescent="0.25">
      <c r="C271" s="1"/>
      <c r="D271" s="2"/>
      <c r="E271" s="2"/>
    </row>
    <row r="272" spans="1:8" x14ac:dyDescent="0.25">
      <c r="C272" s="1"/>
      <c r="D272" s="2"/>
      <c r="E272" s="2"/>
    </row>
    <row r="273" spans="3:5" x14ac:dyDescent="0.25">
      <c r="C273" s="1"/>
      <c r="D273" s="2"/>
      <c r="E273" s="2"/>
    </row>
    <row r="274" spans="3:5" x14ac:dyDescent="0.25">
      <c r="C274" s="1"/>
      <c r="D274" s="2"/>
      <c r="E274" s="2"/>
    </row>
    <row r="275" spans="3:5" x14ac:dyDescent="0.25">
      <c r="C275" s="1"/>
      <c r="D275" s="2"/>
      <c r="E275" s="2"/>
    </row>
  </sheetData>
  <autoFilter ref="A5:I246">
    <sortState ref="A6:I254">
      <sortCondition descending="1" ref="E5"/>
    </sortState>
  </autoFilter>
  <sortState ref="A6:I241">
    <sortCondition ref="A5"/>
  </sortState>
  <mergeCells count="4">
    <mergeCell ref="A2:I2"/>
    <mergeCell ref="A3:I3"/>
    <mergeCell ref="A260:F260"/>
    <mergeCell ref="A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B5" sqref="B5"/>
    </sheetView>
  </sheetViews>
  <sheetFormatPr defaultRowHeight="15" x14ac:dyDescent="0.25"/>
  <cols>
    <col min="1" max="1" width="39.140625" customWidth="1"/>
    <col min="2" max="2" width="130.7109375" customWidth="1"/>
    <col min="3" max="3" width="15.7109375" style="40" customWidth="1"/>
    <col min="4" max="5" width="15.7109375" customWidth="1"/>
    <col min="6" max="6" width="10.7109375" customWidth="1"/>
    <col min="7" max="7" width="20.7109375" customWidth="1"/>
    <col min="8" max="8" width="10.7109375" customWidth="1"/>
    <col min="9" max="9" width="20.7109375" customWidth="1"/>
    <col min="10" max="10" width="12.7109375" customWidth="1"/>
  </cols>
  <sheetData>
    <row r="1" spans="1:11" s="8" customFormat="1" ht="18.75" x14ac:dyDescent="0.3">
      <c r="A1" s="58" t="s">
        <v>174</v>
      </c>
      <c r="B1" s="58"/>
      <c r="C1" s="58"/>
      <c r="D1" s="58"/>
      <c r="E1" s="58"/>
      <c r="F1" s="58"/>
      <c r="G1" s="58"/>
      <c r="H1" s="58"/>
      <c r="I1" s="58"/>
    </row>
    <row r="2" spans="1:11" s="8" customFormat="1" ht="18.75" x14ac:dyDescent="0.3">
      <c r="A2" s="58"/>
      <c r="B2" s="58"/>
      <c r="C2" s="58"/>
      <c r="D2" s="58"/>
      <c r="E2" s="58"/>
      <c r="F2" s="58"/>
      <c r="G2" s="58"/>
      <c r="H2" s="58"/>
      <c r="I2" s="58"/>
    </row>
    <row r="3" spans="1:11" ht="27" customHeight="1" x14ac:dyDescent="0.25">
      <c r="A3" s="63"/>
      <c r="B3" s="63"/>
      <c r="C3" s="63"/>
      <c r="D3" s="63"/>
      <c r="E3" s="63"/>
      <c r="F3" s="63"/>
      <c r="G3" s="63"/>
      <c r="H3" s="63"/>
      <c r="I3" s="63"/>
    </row>
    <row r="4" spans="1:11" ht="65.099999999999994" customHeight="1" x14ac:dyDescent="0.25">
      <c r="A4" s="9" t="s">
        <v>121</v>
      </c>
      <c r="B4" s="10" t="s">
        <v>122</v>
      </c>
      <c r="C4" s="11" t="s">
        <v>123</v>
      </c>
      <c r="D4" s="12" t="s">
        <v>119</v>
      </c>
      <c r="E4" s="13" t="s">
        <v>120</v>
      </c>
      <c r="F4" s="52" t="s">
        <v>124</v>
      </c>
      <c r="G4" s="9" t="s">
        <v>125</v>
      </c>
      <c r="H4" s="52" t="s">
        <v>126</v>
      </c>
      <c r="I4" s="9" t="s">
        <v>125</v>
      </c>
    </row>
    <row r="5" spans="1:11" s="18" customFormat="1" ht="30" x14ac:dyDescent="0.25">
      <c r="A5" s="14" t="s">
        <v>177</v>
      </c>
      <c r="B5" s="27" t="s">
        <v>178</v>
      </c>
      <c r="C5" s="54">
        <v>391600</v>
      </c>
      <c r="D5" s="37">
        <v>41386</v>
      </c>
      <c r="E5" s="56">
        <v>42185</v>
      </c>
      <c r="F5" s="15" t="s">
        <v>172</v>
      </c>
      <c r="G5" s="16"/>
      <c r="H5" s="15" t="s">
        <v>157</v>
      </c>
      <c r="I5" s="17">
        <v>1</v>
      </c>
      <c r="J5" s="19"/>
      <c r="K5"/>
    </row>
    <row r="6" spans="1:11" s="36" customFormat="1" ht="30" x14ac:dyDescent="0.25">
      <c r="A6" s="14" t="s">
        <v>179</v>
      </c>
      <c r="B6" s="30" t="s">
        <v>178</v>
      </c>
      <c r="C6" s="54">
        <v>301302.15999999997</v>
      </c>
      <c r="D6" s="37">
        <v>41395</v>
      </c>
      <c r="E6" s="56">
        <v>42185</v>
      </c>
      <c r="F6" s="31" t="s">
        <v>172</v>
      </c>
      <c r="G6" s="32"/>
      <c r="H6" s="31" t="s">
        <v>157</v>
      </c>
      <c r="I6" s="33">
        <v>1</v>
      </c>
      <c r="J6" s="34"/>
      <c r="K6" s="35"/>
    </row>
    <row r="8" spans="1:11" ht="15" customHeight="1" x14ac:dyDescent="0.25">
      <c r="A8" s="18"/>
      <c r="B8" s="18"/>
      <c r="C8" s="20"/>
      <c r="D8" s="18"/>
      <c r="E8" s="18"/>
      <c r="F8" s="18"/>
      <c r="G8" s="20"/>
      <c r="H8" s="21"/>
      <c r="I8" s="22"/>
    </row>
    <row r="9" spans="1:11" ht="15" customHeight="1" x14ac:dyDescent="0.25">
      <c r="A9" s="46" t="s">
        <v>158</v>
      </c>
      <c r="B9" s="46"/>
      <c r="C9" s="49"/>
      <c r="D9" s="28"/>
      <c r="E9" s="28"/>
      <c r="F9" s="28"/>
      <c r="G9" s="20"/>
      <c r="H9" s="21"/>
      <c r="I9" s="22"/>
    </row>
    <row r="10" spans="1:11" ht="15" customHeight="1" x14ac:dyDescent="0.25">
      <c r="A10" s="47">
        <v>1</v>
      </c>
      <c r="B10" s="48" t="s">
        <v>159</v>
      </c>
      <c r="C10" s="50"/>
      <c r="D10" s="29"/>
      <c r="E10" s="29"/>
      <c r="F10" s="29"/>
      <c r="G10" s="20"/>
      <c r="H10" s="21"/>
      <c r="I10" s="22"/>
    </row>
    <row r="11" spans="1:11" ht="15" customHeight="1" x14ac:dyDescent="0.25">
      <c r="A11" s="23"/>
      <c r="B11" s="24"/>
      <c r="C11" s="51"/>
      <c r="D11" s="25"/>
      <c r="E11" s="26"/>
      <c r="F11" s="21"/>
      <c r="G11" s="20"/>
      <c r="H11" s="21"/>
      <c r="I11" s="22"/>
    </row>
  </sheetData>
  <mergeCells count="3">
    <mergeCell ref="A1:I1"/>
    <mergeCell ref="A2:I2"/>
    <mergeCell ref="A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AusTender-Senate-Order-on-Confi</vt:lpstr>
      <vt:lpstr>Grants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Solano</dc:creator>
  <cp:lastModifiedBy>tony.solano</cp:lastModifiedBy>
  <cp:lastPrinted>2014-07-30T23:58:02Z</cp:lastPrinted>
  <dcterms:created xsi:type="dcterms:W3CDTF">2014-06-29T23:39:41Z</dcterms:created>
  <dcterms:modified xsi:type="dcterms:W3CDTF">2015-02-09T21:50:03Z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A4381099</vt:lpwstr>
  </property>
  <property fmtid="{D5CDD505-2E9C-101B-9397-08002B2CF9AE}" pid="4" name="Objective-Title">
    <vt:lpwstr>Senate Order Report 1 January 2014 -31 December 2014Updated</vt:lpwstr>
  </property>
  <property fmtid="{D5CDD505-2E9C-101B-9397-08002B2CF9AE}" pid="5" name="Objective-Comment">
    <vt:lpwstr>
    </vt:lpwstr>
  </property>
  <property fmtid="{D5CDD505-2E9C-101B-9397-08002B2CF9AE}" pid="6" name="Objective-CreationStamp">
    <vt:filetime>2015-02-08T22:15:37Z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2015-02-09T21:50:12Z</vt:filetime>
  </property>
  <property fmtid="{D5CDD505-2E9C-101B-9397-08002B2CF9AE}" pid="10" name="Objective-ModificationStamp">
    <vt:filetime>2015-02-09T21:50:13Z</vt:filetime>
  </property>
  <property fmtid="{D5CDD505-2E9C-101B-9397-08002B2CF9AE}" pid="11" name="Objective-Owner">
    <vt:lpwstr>Tony Solano</vt:lpwstr>
  </property>
  <property fmtid="{D5CDD505-2E9C-101B-9397-08002B2CF9AE}" pid="12" name="Objective-Path">
    <vt:lpwstr>BCS:ASIC:PROCUREMENT:Reporting:Senate Order Report - Contracts $100K+:Reporting Calendar Year 2014:</vt:lpwstr>
  </property>
  <property fmtid="{D5CDD505-2E9C-101B-9397-08002B2CF9AE}" pid="13" name="Objective-Parent">
    <vt:lpwstr>Reporting Calendar Year 2014</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3</vt:i4>
  </property>
  <property fmtid="{D5CDD505-2E9C-101B-9397-08002B2CF9AE}" pid="17" name="Objective-VersionComment">
    <vt:lpwstr>
    </vt:lpwstr>
  </property>
  <property fmtid="{D5CDD505-2E9C-101B-9397-08002B2CF9AE}" pid="18" name="Objective-FileNumber">
    <vt:lpwstr>2009 - 002293</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ies>
</file>